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lk069675\Desktop\DOKUMENTY\MOJE POSTĘPOWANIA\POSTĘPOWANIA 2023\POSTĘPOWANIE 24_2023 Radlin\SWZ\"/>
    </mc:Choice>
  </mc:AlternateContent>
  <bookViews>
    <workbookView xWindow="0" yWindow="0" windowWidth="15030" windowHeight="5955" firstSheet="6" activeTab="6"/>
  </bookViews>
  <sheets>
    <sheet name="Rybnik Niedobczyce (RCO)" sheetId="18" state="hidden" r:id="rId1"/>
    <sheet name="Rybnik Niedobczyce (2,5mln)" sheetId="15" state="hidden" r:id="rId2"/>
    <sheet name="Rybnik Niewiadom (RCO)" sheetId="20" state="hidden" r:id="rId3"/>
    <sheet name="Rybnik Niewiadom" sheetId="14" state="hidden" r:id="rId4"/>
    <sheet name="Rybnik Paruszowiec" sheetId="13" state="hidden" r:id="rId5"/>
    <sheet name="Warszowice i PAWŁOWICE(RCO)" sheetId="24" state="hidden" r:id="rId6"/>
    <sheet name="Warszowice (RCO)" sheetId="22" r:id="rId7"/>
    <sheet name="Warszowice" sheetId="16" state="hidden" r:id="rId8"/>
    <sheet name="Pawłowice Studzionka" sheetId="17" state="hidden" r:id="rId9"/>
    <sheet name="Arkusz4" sheetId="5" state="hidden" r:id="rId10"/>
  </sheets>
  <definedNames>
    <definedName name="_xlnm.Print_Area" localSheetId="8">'Pawłowice Studzionka'!$A$1:$F$66</definedName>
    <definedName name="_xlnm.Print_Area" localSheetId="1">'Rybnik Niedobczyce (2,5mln)'!$A$1:$F$73</definedName>
    <definedName name="_xlnm.Print_Area" localSheetId="0">'Rybnik Niedobczyce (RCO)'!$A$1:$G$63</definedName>
    <definedName name="_xlnm.Print_Area" localSheetId="3">'Rybnik Niewiadom'!$A$1:$F$78</definedName>
    <definedName name="_xlnm.Print_Area" localSheetId="2">'Rybnik Niewiadom (RCO)'!$A$1:$G$63</definedName>
    <definedName name="_xlnm.Print_Area" localSheetId="4">'Rybnik Paruszowiec'!$A$1:$F$67</definedName>
    <definedName name="_xlnm.Print_Area" localSheetId="7">Warszowice!$A$1:$F$74</definedName>
    <definedName name="_xlnm.Print_Area" localSheetId="6">'Warszowice (RCO)'!$A$1:$H$65</definedName>
    <definedName name="_xlnm.Print_Area" localSheetId="5">'Warszowice i PAWŁOWICE(RCO)'!$A$1:$G$14</definedName>
    <definedName name="_xlnm.Print_Titles" localSheetId="6">'Warszowice (RCO)'!$3:$4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22" l="1"/>
  <c r="G48" i="22"/>
  <c r="G38" i="22"/>
  <c r="G35" i="22"/>
  <c r="G34" i="22"/>
  <c r="G31" i="22"/>
  <c r="G32" i="22"/>
  <c r="G30" i="22"/>
  <c r="G26" i="22"/>
  <c r="G25" i="22"/>
  <c r="G23" i="22"/>
  <c r="G20" i="22"/>
  <c r="G19" i="22"/>
  <c r="G18" i="22"/>
  <c r="G17" i="22"/>
  <c r="G16" i="22"/>
  <c r="G13" i="22"/>
  <c r="G12" i="22"/>
  <c r="G11" i="22"/>
  <c r="G14" i="22" s="1"/>
  <c r="G33" i="22"/>
  <c r="G28" i="22" l="1"/>
  <c r="G36" i="22"/>
  <c r="G21" i="22"/>
  <c r="G54" i="22"/>
  <c r="G59" i="22"/>
  <c r="A50" i="22" l="1"/>
  <c r="A6" i="24" l="1"/>
  <c r="F9" i="24" l="1"/>
  <c r="A12" i="22" l="1"/>
  <c r="A13" i="22" s="1"/>
  <c r="E7" i="22"/>
  <c r="G7" i="22" s="1"/>
  <c r="G42" i="22" s="1"/>
  <c r="A38" i="22"/>
  <c r="A30" i="22"/>
  <c r="A23" i="22"/>
  <c r="D11" i="22"/>
  <c r="D7" i="22"/>
  <c r="G57" i="22" l="1"/>
  <c r="B40" i="18"/>
  <c r="D44" i="18" l="1"/>
  <c r="E48" i="18"/>
  <c r="E46" i="18"/>
  <c r="E44" i="18"/>
  <c r="A44" i="18"/>
  <c r="A46" i="18" s="1"/>
  <c r="A48" i="18" s="1"/>
  <c r="D44" i="20"/>
  <c r="E46" i="20"/>
  <c r="A44" i="20"/>
  <c r="A46" i="20" s="1"/>
  <c r="A48" i="20" s="1"/>
  <c r="N34" i="20" l="1"/>
  <c r="C27" i="14"/>
  <c r="H55" i="14"/>
  <c r="A52" i="20"/>
  <c r="E48" i="20"/>
  <c r="A38" i="20"/>
  <c r="A40" i="20" s="1"/>
  <c r="N35" i="20"/>
  <c r="R35" i="20" s="1"/>
  <c r="E34" i="20"/>
  <c r="B32" i="20"/>
  <c r="B26" i="20"/>
  <c r="B28" i="20" s="1"/>
  <c r="A26" i="20"/>
  <c r="A28" i="20" s="1"/>
  <c r="A30" i="20" s="1"/>
  <c r="A32" i="20" s="1"/>
  <c r="A34" i="20" s="1"/>
  <c r="O24" i="20"/>
  <c r="P18" i="20"/>
  <c r="P16" i="20"/>
  <c r="N16" i="20"/>
  <c r="P13" i="20"/>
  <c r="P12" i="20"/>
  <c r="B10" i="20"/>
  <c r="B12" i="20" s="1"/>
  <c r="B14" i="20" s="1"/>
  <c r="B16" i="20" s="1"/>
  <c r="B18" i="20" s="1"/>
  <c r="B20" i="20" s="1"/>
  <c r="A10" i="20"/>
  <c r="A12" i="20" s="1"/>
  <c r="A14" i="20" s="1"/>
  <c r="A16" i="20" s="1"/>
  <c r="A18" i="20" s="1"/>
  <c r="A20" i="20" s="1"/>
  <c r="C8" i="20"/>
  <c r="C14" i="20" s="1"/>
  <c r="B5" i="20"/>
  <c r="D4" i="20"/>
  <c r="C4" i="20"/>
  <c r="B4" i="20"/>
  <c r="C10" i="20" l="1"/>
  <c r="C12" i="20" s="1"/>
  <c r="E44" i="20"/>
  <c r="A52" i="18"/>
  <c r="A38" i="18"/>
  <c r="A40" i="18" s="1"/>
  <c r="I12" i="15"/>
  <c r="I11" i="15"/>
  <c r="N34" i="18"/>
  <c r="N35" i="18"/>
  <c r="E34" i="18"/>
  <c r="B32" i="18"/>
  <c r="J11" i="15"/>
  <c r="H4" i="15"/>
  <c r="B26" i="18"/>
  <c r="B28" i="18" s="1"/>
  <c r="O24" i="18"/>
  <c r="H7" i="15"/>
  <c r="H27" i="15"/>
  <c r="P13" i="18"/>
  <c r="P12" i="18"/>
  <c r="P16" i="18"/>
  <c r="P18" i="18"/>
  <c r="H19" i="15"/>
  <c r="H18" i="15"/>
  <c r="H16" i="15"/>
  <c r="H15" i="15"/>
  <c r="N16" i="18"/>
  <c r="A10" i="18"/>
  <c r="I19" i="15" s="1"/>
  <c r="B10" i="18"/>
  <c r="B12" i="18" s="1"/>
  <c r="B14" i="18" s="1"/>
  <c r="B16" i="18" s="1"/>
  <c r="B18" i="18" s="1"/>
  <c r="B20" i="18" s="1"/>
  <c r="C8" i="18"/>
  <c r="D4" i="18"/>
  <c r="C4" i="18"/>
  <c r="B5" i="18"/>
  <c r="B4" i="18"/>
  <c r="F50" i="18" l="1"/>
  <c r="R35" i="18"/>
  <c r="A12" i="18"/>
  <c r="C10" i="18"/>
  <c r="C12" i="18" s="1"/>
  <c r="C14" i="18"/>
  <c r="H17" i="15" l="1"/>
  <c r="A14" i="18"/>
  <c r="H20" i="15" l="1"/>
  <c r="A16" i="18"/>
  <c r="A18" i="18" l="1"/>
  <c r="A20" i="18" s="1"/>
  <c r="I15" i="15"/>
  <c r="D7" i="13"/>
  <c r="D7" i="15"/>
  <c r="C16" i="14"/>
  <c r="D8" i="20" s="1"/>
  <c r="D10" i="14"/>
  <c r="D7" i="14"/>
  <c r="R18" i="20" l="1"/>
  <c r="F18" i="20" s="1"/>
  <c r="E18" i="20" s="1"/>
  <c r="D10" i="20"/>
  <c r="J17" i="20"/>
  <c r="N17" i="20" s="1"/>
  <c r="O17" i="20" s="1"/>
  <c r="R16" i="20" s="1"/>
  <c r="F16" i="20" s="1"/>
  <c r="E16" i="20" s="1"/>
  <c r="D14" i="20"/>
  <c r="A26" i="18"/>
  <c r="H21" i="15"/>
  <c r="A40" i="15"/>
  <c r="E39" i="15"/>
  <c r="R40" i="18" s="1"/>
  <c r="F40" i="18" s="1"/>
  <c r="E40" i="18" s="1"/>
  <c r="E33" i="13"/>
  <c r="D45" i="14"/>
  <c r="D12" i="20" l="1"/>
  <c r="E10" i="20"/>
  <c r="A28" i="18"/>
  <c r="A30" i="18" s="1"/>
  <c r="H10" i="15"/>
  <c r="H29" i="15"/>
  <c r="H24" i="15"/>
  <c r="H28" i="15" l="1"/>
  <c r="D21" i="13"/>
  <c r="D10" i="13"/>
  <c r="D11" i="13"/>
  <c r="D23" i="13"/>
  <c r="C27" i="13"/>
  <c r="C21" i="13"/>
  <c r="C28" i="13"/>
  <c r="C26" i="13" s="1"/>
  <c r="E40" i="13"/>
  <c r="C33" i="15"/>
  <c r="C34" i="15" s="1"/>
  <c r="C32" i="15" s="1"/>
  <c r="E46" i="15"/>
  <c r="E52" i="14"/>
  <c r="E53" i="14" s="1"/>
  <c r="C33" i="14"/>
  <c r="C34" i="14" s="1"/>
  <c r="C32" i="14" s="1"/>
  <c r="C28" i="15"/>
  <c r="C28" i="14"/>
  <c r="D28" i="20" s="1"/>
  <c r="C27" i="15"/>
  <c r="C9" i="15"/>
  <c r="K11" i="15" s="1"/>
  <c r="L11" i="15" s="1"/>
  <c r="L12" i="15" s="1"/>
  <c r="C41" i="14"/>
  <c r="C40" i="14"/>
  <c r="D39" i="14"/>
  <c r="C35" i="14"/>
  <c r="C9" i="14"/>
  <c r="D19" i="15"/>
  <c r="D29" i="15"/>
  <c r="D29" i="14"/>
  <c r="E41" i="13" l="1"/>
  <c r="E47" i="15"/>
  <c r="I54" i="18" s="1"/>
  <c r="R52" i="18"/>
  <c r="F52" i="18" s="1"/>
  <c r="R52" i="20"/>
  <c r="F52" i="20" s="1"/>
  <c r="I54" i="20"/>
  <c r="A32" i="18"/>
  <c r="H9" i="15"/>
  <c r="D34" i="17"/>
  <c r="E34" i="17" s="1"/>
  <c r="C31" i="16"/>
  <c r="C29" i="17"/>
  <c r="E29" i="17" s="1"/>
  <c r="C22" i="17"/>
  <c r="E22" i="17" s="1"/>
  <c r="C21" i="17"/>
  <c r="D21" i="17"/>
  <c r="C15" i="16"/>
  <c r="C15" i="17"/>
  <c r="A54" i="17"/>
  <c r="C49" i="17"/>
  <c r="A39" i="17"/>
  <c r="E38" i="17"/>
  <c r="E37" i="17"/>
  <c r="A35" i="17"/>
  <c r="E33" i="17"/>
  <c r="E35" i="17" s="1"/>
  <c r="A31" i="17"/>
  <c r="E30" i="17"/>
  <c r="C28" i="17"/>
  <c r="E28" i="17" s="1"/>
  <c r="A25" i="17"/>
  <c r="D24" i="17"/>
  <c r="E24" i="17" s="1"/>
  <c r="E23" i="17"/>
  <c r="A19" i="17"/>
  <c r="E18" i="17"/>
  <c r="E19" i="17" s="1"/>
  <c r="A16" i="17"/>
  <c r="A13" i="17"/>
  <c r="E12" i="17"/>
  <c r="E11" i="17"/>
  <c r="D10" i="17"/>
  <c r="E10" i="17" s="1"/>
  <c r="E9" i="17"/>
  <c r="D7" i="17"/>
  <c r="E7" i="17" s="1"/>
  <c r="A5" i="17"/>
  <c r="E4" i="17"/>
  <c r="D42" i="16"/>
  <c r="E15" i="17" l="1"/>
  <c r="E52" i="18"/>
  <c r="F54" i="18"/>
  <c r="H54" i="18" s="1"/>
  <c r="E52" i="20"/>
  <c r="F54" i="20"/>
  <c r="H54" i="20" s="1"/>
  <c r="E5" i="17"/>
  <c r="H35" i="15"/>
  <c r="H33" i="15"/>
  <c r="A34" i="18"/>
  <c r="H32" i="15"/>
  <c r="H34" i="15"/>
  <c r="E21" i="17"/>
  <c r="E25" i="17" s="1"/>
  <c r="C27" i="17"/>
  <c r="E27" i="17" s="1"/>
  <c r="E31" i="17" s="1"/>
  <c r="E39" i="17"/>
  <c r="E13" i="17"/>
  <c r="E16" i="17"/>
  <c r="H11" i="15" l="1"/>
  <c r="H12" i="15"/>
  <c r="E57" i="17"/>
  <c r="E50" i="17" s="1"/>
  <c r="E51" i="17" s="1"/>
  <c r="E52" i="17" s="1"/>
  <c r="D41" i="17" s="1"/>
  <c r="E41" i="17" s="1"/>
  <c r="E54" i="17" l="1"/>
  <c r="E56" i="17" s="1"/>
  <c r="E58" i="17" s="1"/>
  <c r="G2" i="17" s="1"/>
  <c r="E59" i="17"/>
  <c r="C25" i="16" l="1"/>
  <c r="C24" i="16"/>
  <c r="D23" i="16"/>
  <c r="E23" i="16" s="1"/>
  <c r="D26" i="16"/>
  <c r="C22" i="16"/>
  <c r="C21" i="16"/>
  <c r="D21" i="16"/>
  <c r="E22" i="16"/>
  <c r="E15" i="16"/>
  <c r="D10" i="16"/>
  <c r="E10" i="16" s="1"/>
  <c r="D7" i="16"/>
  <c r="E7" i="16" s="1"/>
  <c r="A62" i="16"/>
  <c r="C57" i="16"/>
  <c r="A47" i="16"/>
  <c r="E46" i="16"/>
  <c r="E45" i="16"/>
  <c r="A43" i="16"/>
  <c r="E42" i="16"/>
  <c r="E41" i="16"/>
  <c r="A39" i="16"/>
  <c r="E38" i="16"/>
  <c r="E37" i="16"/>
  <c r="E36" i="16"/>
  <c r="E35" i="16"/>
  <c r="A33" i="16"/>
  <c r="E32" i="16"/>
  <c r="E31" i="16"/>
  <c r="C30" i="16"/>
  <c r="E30" i="16" s="1"/>
  <c r="C29" i="16"/>
  <c r="E29" i="16" s="1"/>
  <c r="A27" i="16"/>
  <c r="E26" i="16"/>
  <c r="E25" i="16"/>
  <c r="E24" i="16"/>
  <c r="A19" i="16"/>
  <c r="E18" i="16"/>
  <c r="E19" i="16" s="1"/>
  <c r="A16" i="16"/>
  <c r="A13" i="16"/>
  <c r="E12" i="16"/>
  <c r="E11" i="16"/>
  <c r="E9" i="16"/>
  <c r="A5" i="16"/>
  <c r="E4" i="16"/>
  <c r="E5" i="16" s="1"/>
  <c r="E21" i="16" l="1"/>
  <c r="E43" i="16"/>
  <c r="E27" i="16"/>
  <c r="E13" i="16"/>
  <c r="E39" i="16"/>
  <c r="E47" i="16"/>
  <c r="E33" i="16"/>
  <c r="E16" i="16" l="1"/>
  <c r="E65" i="16" s="1"/>
  <c r="E58" i="16" s="1"/>
  <c r="E59" i="16" s="1"/>
  <c r="E60" i="16" s="1"/>
  <c r="D49" i="16" s="1"/>
  <c r="E49" i="16" s="1"/>
  <c r="C19" i="15"/>
  <c r="C20" i="15" s="1"/>
  <c r="E20" i="15" s="1"/>
  <c r="E7" i="15"/>
  <c r="E29" i="15"/>
  <c r="C15" i="15"/>
  <c r="E15" i="15" s="1"/>
  <c r="C15" i="14"/>
  <c r="E9" i="15"/>
  <c r="A62" i="15"/>
  <c r="C57" i="15"/>
  <c r="A44" i="15"/>
  <c r="E43" i="15"/>
  <c r="R48" i="18" s="1"/>
  <c r="E42" i="15"/>
  <c r="R44" i="18" s="1"/>
  <c r="E38" i="15"/>
  <c r="A36" i="15"/>
  <c r="E35" i="15"/>
  <c r="E34" i="15"/>
  <c r="E33" i="15"/>
  <c r="A30" i="15"/>
  <c r="E28" i="15"/>
  <c r="E27" i="15"/>
  <c r="A25" i="15"/>
  <c r="E24" i="15"/>
  <c r="E25" i="15" s="1"/>
  <c r="A22" i="15"/>
  <c r="E21" i="15"/>
  <c r="C18" i="15"/>
  <c r="E18" i="15" s="1"/>
  <c r="C16" i="15"/>
  <c r="A13" i="15"/>
  <c r="E12" i="15"/>
  <c r="E11" i="15"/>
  <c r="D10" i="15"/>
  <c r="E10" i="15" s="1"/>
  <c r="A5" i="15"/>
  <c r="E4" i="15"/>
  <c r="C19" i="14"/>
  <c r="C20" i="14" s="1"/>
  <c r="C18" i="14"/>
  <c r="E19" i="15" l="1"/>
  <c r="E16" i="15"/>
  <c r="D8" i="18"/>
  <c r="E62" i="16"/>
  <c r="E64" i="16" s="1"/>
  <c r="E66" i="16" s="1"/>
  <c r="E67" i="16" s="1"/>
  <c r="R28" i="18"/>
  <c r="F28" i="18" s="1"/>
  <c r="E28" i="18" s="1"/>
  <c r="R30" i="18"/>
  <c r="F30" i="18" s="1"/>
  <c r="E30" i="18" s="1"/>
  <c r="R38" i="18"/>
  <c r="F38" i="18" s="1"/>
  <c r="R14" i="18"/>
  <c r="F14" i="18" s="1"/>
  <c r="R20" i="18"/>
  <c r="F20" i="18" s="1"/>
  <c r="E20" i="18" s="1"/>
  <c r="R26" i="18"/>
  <c r="F26" i="18" s="1"/>
  <c r="E26" i="18" s="1"/>
  <c r="R24" i="18"/>
  <c r="E5" i="15"/>
  <c r="R9" i="18"/>
  <c r="E40" i="15"/>
  <c r="C17" i="15"/>
  <c r="E17" i="15" s="1"/>
  <c r="E32" i="15"/>
  <c r="I36" i="18" s="1"/>
  <c r="G2" i="16"/>
  <c r="E44" i="15"/>
  <c r="I50" i="18" s="1"/>
  <c r="H50" i="18" s="1"/>
  <c r="E30" i="15"/>
  <c r="E13" i="15"/>
  <c r="E45" i="14"/>
  <c r="R40" i="20" s="1"/>
  <c r="F40" i="20" s="1"/>
  <c r="E40" i="20" s="1"/>
  <c r="E41" i="14"/>
  <c r="E40" i="14"/>
  <c r="E39" i="14"/>
  <c r="E38" i="14"/>
  <c r="A42" i="14"/>
  <c r="E44" i="14"/>
  <c r="R38" i="20" s="1"/>
  <c r="F38" i="20" s="1"/>
  <c r="A46" i="14"/>
  <c r="D14" i="18" l="1"/>
  <c r="R18" i="18"/>
  <c r="F18" i="18" s="1"/>
  <c r="E18" i="18" s="1"/>
  <c r="J17" i="18"/>
  <c r="N17" i="18" s="1"/>
  <c r="O17" i="18" s="1"/>
  <c r="R16" i="18" s="1"/>
  <c r="F16" i="18" s="1"/>
  <c r="E16" i="18" s="1"/>
  <c r="D10" i="18"/>
  <c r="E14" i="18"/>
  <c r="I42" i="18"/>
  <c r="E38" i="18"/>
  <c r="F42" i="18"/>
  <c r="E38" i="20"/>
  <c r="F42" i="20"/>
  <c r="R12" i="18"/>
  <c r="F12" i="18" s="1"/>
  <c r="F24" i="18"/>
  <c r="P24" i="18"/>
  <c r="E36" i="15"/>
  <c r="R32" i="18"/>
  <c r="F32" i="18" s="1"/>
  <c r="E32" i="18" s="1"/>
  <c r="E22" i="15"/>
  <c r="E46" i="14"/>
  <c r="E42" i="14"/>
  <c r="R33" i="20" s="1"/>
  <c r="A68" i="14"/>
  <c r="C63" i="14"/>
  <c r="A50" i="14"/>
  <c r="E49" i="14"/>
  <c r="R48" i="20" s="1"/>
  <c r="E48" i="14"/>
  <c r="R44" i="20" s="1"/>
  <c r="F50" i="20" s="1"/>
  <c r="A36" i="14"/>
  <c r="E35" i="14"/>
  <c r="E34" i="14"/>
  <c r="E33" i="14"/>
  <c r="A30" i="14"/>
  <c r="E29" i="14"/>
  <c r="E28" i="14"/>
  <c r="R28" i="20" s="1"/>
  <c r="F28" i="20" s="1"/>
  <c r="E28" i="20" s="1"/>
  <c r="E27" i="14"/>
  <c r="A25" i="14"/>
  <c r="E24" i="14"/>
  <c r="E25" i="14" s="1"/>
  <c r="A22" i="14"/>
  <c r="E21" i="14"/>
  <c r="R20" i="20" s="1"/>
  <c r="F20" i="20" s="1"/>
  <c r="E20" i="20" s="1"/>
  <c r="E19" i="14"/>
  <c r="E20" i="14"/>
  <c r="R14" i="20" s="1"/>
  <c r="F14" i="20" s="1"/>
  <c r="E14" i="20" s="1"/>
  <c r="E18" i="14"/>
  <c r="E16" i="14"/>
  <c r="C17" i="14"/>
  <c r="E17" i="14" s="1"/>
  <c r="R12" i="20" s="1"/>
  <c r="F12" i="20" s="1"/>
  <c r="E12" i="20" s="1"/>
  <c r="A13" i="14"/>
  <c r="E12" i="14"/>
  <c r="E11" i="14"/>
  <c r="E10" i="14"/>
  <c r="E9" i="14"/>
  <c r="R30" i="20" s="1"/>
  <c r="F30" i="20" s="1"/>
  <c r="E30" i="20" s="1"/>
  <c r="E7" i="14"/>
  <c r="A5" i="14"/>
  <c r="E4" i="14"/>
  <c r="D12" i="18" l="1"/>
  <c r="E10" i="18"/>
  <c r="E12" i="18"/>
  <c r="I42" i="20"/>
  <c r="H42" i="20" s="1"/>
  <c r="E5" i="14"/>
  <c r="R26" i="20"/>
  <c r="F26" i="20" s="1"/>
  <c r="E26" i="20" s="1"/>
  <c r="R24" i="20"/>
  <c r="P24" i="20" s="1"/>
  <c r="F8" i="18"/>
  <c r="F22" i="18" s="1"/>
  <c r="H22" i="18" s="1"/>
  <c r="H42" i="18"/>
  <c r="E65" i="15"/>
  <c r="E58" i="15" s="1"/>
  <c r="E59" i="15" s="1"/>
  <c r="E60" i="15" s="1"/>
  <c r="D49" i="15" s="1"/>
  <c r="E49" i="15" s="1"/>
  <c r="E62" i="15" s="1"/>
  <c r="E64" i="15" s="1"/>
  <c r="E66" i="15" s="1"/>
  <c r="E67" i="15" s="1"/>
  <c r="F36" i="18"/>
  <c r="H36" i="18" s="1"/>
  <c r="E24" i="18"/>
  <c r="E50" i="14"/>
  <c r="E30" i="14"/>
  <c r="E13" i="14"/>
  <c r="I36" i="20" s="1"/>
  <c r="E15" i="14"/>
  <c r="E32" i="14"/>
  <c r="E36" i="14" s="1"/>
  <c r="R32" i="20" s="1"/>
  <c r="F32" i="20" s="1"/>
  <c r="E32" i="20" s="1"/>
  <c r="F24" i="20" l="1"/>
  <c r="E24" i="20" s="1"/>
  <c r="E22" i="14"/>
  <c r="R9" i="20"/>
  <c r="F8" i="20" s="1"/>
  <c r="I50" i="20"/>
  <c r="H50" i="20" s="1"/>
  <c r="E4" i="18"/>
  <c r="F36" i="20"/>
  <c r="H36" i="20" s="1"/>
  <c r="I22" i="18"/>
  <c r="F57" i="18"/>
  <c r="I59" i="18"/>
  <c r="E71" i="14"/>
  <c r="E64" i="14" s="1"/>
  <c r="E65" i="14" s="1"/>
  <c r="E66" i="14" s="1"/>
  <c r="D55" i="14" s="1"/>
  <c r="E55" i="14" s="1"/>
  <c r="G2" i="15"/>
  <c r="E68" i="15"/>
  <c r="F4" i="18" l="1"/>
  <c r="F6" i="18" s="1"/>
  <c r="F56" i="18" s="1"/>
  <c r="F58" i="18" s="1"/>
  <c r="F59" i="18" s="1"/>
  <c r="H59" i="18" s="1"/>
  <c r="E8" i="20"/>
  <c r="F22" i="20"/>
  <c r="I22" i="20"/>
  <c r="E68" i="14"/>
  <c r="E70" i="14" s="1"/>
  <c r="E72" i="14" s="1"/>
  <c r="E73" i="14" s="1"/>
  <c r="F4" i="20"/>
  <c r="C51" i="13"/>
  <c r="A56" i="13"/>
  <c r="E74" i="14" l="1"/>
  <c r="I59" i="20"/>
  <c r="H22" i="20"/>
  <c r="F57" i="20"/>
  <c r="H2" i="18"/>
  <c r="F60" i="18"/>
  <c r="G2" i="14"/>
  <c r="A38" i="13"/>
  <c r="E37" i="13"/>
  <c r="E36" i="13"/>
  <c r="A34" i="13"/>
  <c r="E32" i="13"/>
  <c r="E28" i="13"/>
  <c r="E27" i="13"/>
  <c r="A5" i="13"/>
  <c r="A13" i="13"/>
  <c r="A19" i="13"/>
  <c r="A16" i="13"/>
  <c r="A30" i="13"/>
  <c r="A24" i="13"/>
  <c r="E29" i="13"/>
  <c r="E11" i="13"/>
  <c r="E12" i="13"/>
  <c r="E10" i="13"/>
  <c r="E9" i="13"/>
  <c r="E7" i="13"/>
  <c r="E38" i="13" l="1"/>
  <c r="E34" i="13"/>
  <c r="E13" i="13"/>
  <c r="E26" i="13"/>
  <c r="E30" i="13" s="1"/>
  <c r="E23" i="13" l="1"/>
  <c r="E22" i="13"/>
  <c r="E21" i="13"/>
  <c r="E18" i="13"/>
  <c r="E15" i="13"/>
  <c r="E4" i="13"/>
  <c r="E5" i="13" l="1"/>
  <c r="E19" i="13"/>
  <c r="E24" i="13"/>
  <c r="E16" i="13"/>
  <c r="E59" i="13" l="1"/>
  <c r="E52" i="13" s="1"/>
  <c r="E53" i="13" s="1"/>
  <c r="E54" i="13" s="1"/>
  <c r="D43" i="13" s="1"/>
  <c r="E43" i="13" s="1"/>
  <c r="E56" i="13" l="1"/>
  <c r="E58" i="13" s="1"/>
  <c r="E60" i="13" s="1"/>
  <c r="E61" i="13" s="1"/>
  <c r="E62" i="13" l="1"/>
  <c r="G2" i="13"/>
  <c r="E43" i="5" l="1"/>
  <c r="E44" i="5" s="1"/>
  <c r="E40" i="5"/>
  <c r="E39" i="5"/>
  <c r="E38" i="5"/>
  <c r="E37" i="5"/>
  <c r="E36" i="5"/>
  <c r="E35" i="5"/>
  <c r="E34" i="5"/>
  <c r="E31" i="5"/>
  <c r="E30" i="5"/>
  <c r="E29" i="5"/>
  <c r="E28" i="5"/>
  <c r="E27" i="5"/>
  <c r="E24" i="5"/>
  <c r="E23" i="5"/>
  <c r="E22" i="5"/>
  <c r="E21" i="5"/>
  <c r="E25" i="5" s="1"/>
  <c r="E18" i="5"/>
  <c r="E19" i="5" s="1"/>
  <c r="E16" i="5"/>
  <c r="E15" i="5"/>
  <c r="E14" i="5"/>
  <c r="E13" i="5"/>
  <c r="E12" i="5"/>
  <c r="E11" i="5"/>
  <c r="E8" i="5"/>
  <c r="E6" i="5"/>
  <c r="E9" i="5" s="1"/>
  <c r="E4" i="5"/>
  <c r="E32" i="5" l="1"/>
  <c r="E17" i="5"/>
  <c r="E41" i="5"/>
  <c r="E45" i="5"/>
  <c r="E4" i="20" l="1"/>
  <c r="F6" i="20"/>
  <c r="F56" i="20" s="1"/>
  <c r="F58" i="20" l="1"/>
  <c r="F59" i="20" s="1"/>
  <c r="H59" i="20" l="1"/>
  <c r="F60" i="20"/>
  <c r="H2" i="20"/>
  <c r="F6" i="24" l="1"/>
  <c r="E6" i="24" l="1"/>
  <c r="G43" i="22" l="1"/>
  <c r="G58" i="22" l="1"/>
  <c r="G60" i="22" s="1"/>
  <c r="G44" i="22"/>
  <c r="F4" i="24" s="1"/>
  <c r="E4" i="24" l="1"/>
  <c r="F10" i="24"/>
  <c r="F11" i="24" s="1"/>
</calcChain>
</file>

<file path=xl/sharedStrings.xml><?xml version="1.0" encoding="utf-8"?>
<sst xmlns="http://schemas.openxmlformats.org/spreadsheetml/2006/main" count="941" uniqueCount="286">
  <si>
    <t>Roboty ziemne</t>
  </si>
  <si>
    <t>Wybieranie podsypki tłuczniowej spycharkami i koparkami chwytakowymi z transportem koleją</t>
  </si>
  <si>
    <t>ROBOTY ZIEMNE ŁĄCZNIE</t>
  </si>
  <si>
    <t>Torowisko wraz z podtorzem</t>
  </si>
  <si>
    <t>Rozbiórka torów szlakowych przęsłami o długości 25 m na podkładach drewnianych. Szyny S 60</t>
  </si>
  <si>
    <t>Ułożenie warstwy ochronnej - Warstwa ochronna z niesortu spycharką z zagęszczeniem.</t>
  </si>
  <si>
    <t>Ułożenie geowłókniny separacyjnej</t>
  </si>
  <si>
    <t>Regulacja toru w planie i profilu</t>
  </si>
  <si>
    <t>TOROWISKO WRAZ Z PODTORZEM ŁĄCZNIE</t>
  </si>
  <si>
    <t>Zabudowa kompletu wskaźników dla krawędzi peronowej</t>
  </si>
  <si>
    <t>OZNAKOWANIE, SYGNALIZACJE, STEROWANIE ŁĄCZNIE</t>
  </si>
  <si>
    <t>Roboty drogowe (skrzyżowania z drogami, drogi równoległe)</t>
  </si>
  <si>
    <t>ROBOTY DROGOWE (SKRZYŻOWANIA Z DROGAMI, DROGI RÓWNOLEGŁE) ŁĄCZNIE</t>
  </si>
  <si>
    <t>Perony</t>
  </si>
  <si>
    <t>PERONY ŁĄCZNIE</t>
  </si>
  <si>
    <t>Oświetlenie</t>
  </si>
  <si>
    <t>m²</t>
  </si>
  <si>
    <t>m³</t>
  </si>
  <si>
    <t>km</t>
  </si>
  <si>
    <t>m3</t>
  </si>
  <si>
    <t>kpl</t>
  </si>
  <si>
    <t>szt</t>
  </si>
  <si>
    <t>Montaż szafy oświetlenia zewnętrznego SO</t>
  </si>
  <si>
    <t>Demontaż sieci i urządzenia oświetlenia</t>
  </si>
  <si>
    <t>Budowa linii kablowych sieci oświetlenia</t>
  </si>
  <si>
    <t>Montaż słupa oświetleniowego</t>
  </si>
  <si>
    <t>Montaż oprawy i wysięgnika oświetleniowego</t>
  </si>
  <si>
    <t>Demontaż słupa oświetleniowego wraz z oprawą i wysięgnikiem</t>
  </si>
  <si>
    <t>Demontaż szafy oświetleniowej</t>
  </si>
  <si>
    <t>OŚWIETLENIE ŁĄCZNIE</t>
  </si>
  <si>
    <t>Wykonanie wykopów mechanicznie w gruncie kat. III-IV z transportem urobku na nasyp samochodami na odl. Do 15 km wraz z uformowaniem i ryrównaniem skarp naokładzie</t>
  </si>
  <si>
    <t>Jednostka miary</t>
  </si>
  <si>
    <t>Przedmiar</t>
  </si>
  <si>
    <t>ŁĄCZNIE</t>
  </si>
  <si>
    <t>Rewitalizacja istniejącego przejazdu - rozbiórka istniejącej nawierzchni i zabudowa nawierzchni z płyt małogabarytowychplus doasfaltowanie dojazdów do przejazdu</t>
  </si>
  <si>
    <t>Cena jednostkowa</t>
  </si>
  <si>
    <t>ŁĄCZNIE POZOSTAŁE BRANŻE</t>
  </si>
  <si>
    <t>Zakres prac</t>
  </si>
  <si>
    <t>Ostrów Wlkp., dnia 23.04.2021 r.</t>
  </si>
  <si>
    <t>Montaż torów klasa 1.1 w torach głównych (usługaz materiałem)</t>
  </si>
  <si>
    <t>Utylizacja podkładów drewnianych</t>
  </si>
  <si>
    <t>tona</t>
  </si>
  <si>
    <t>Dokumentacja projektowa</t>
  </si>
  <si>
    <t xml:space="preserve">Montaz wygrodzenia peronu </t>
  </si>
  <si>
    <t>mb</t>
  </si>
  <si>
    <t xml:space="preserve">Transportem urobku po rozbiórce peronu samochodem na odl. Do 15 km. </t>
  </si>
  <si>
    <t>Utylizacja materiału powstałego po rozbiórce byłego peronu</t>
  </si>
  <si>
    <t>Wymontowanie i ponowne zamontowanie małej aritektury (gabloty, tablice, wiata peronowa, stojaki na rowery)</t>
  </si>
  <si>
    <t>Przygotowanie placu budowy</t>
  </si>
  <si>
    <t>UWAGI:</t>
  </si>
  <si>
    <t>IZ zastrzega, że podane szacunki bez dokumnetacji projektowej (PW, STWiORB) są na wysokim stopniu ogólności i mogą być obarczone ryzykiem błędu.</t>
  </si>
  <si>
    <t>Decyzje administracyjne:</t>
  </si>
  <si>
    <t>Częściowa rewitalizacja istniejącego przejazdu - rozbiórka części istniejącej nawierzchni i zabudowa nawierzchni z płyt małogabarytowych</t>
  </si>
  <si>
    <t>Budowa nawierzchni drogowej bitumicznej wraz ze stabilizacją podłoża przy uzyciu spoiw hydraulicznych</t>
  </si>
  <si>
    <t>m2</t>
  </si>
  <si>
    <t>Budowa nawierzchni - chodniki z kostki betonowej gr. 8cm. Na podsypce cem.-piaskowej</t>
  </si>
  <si>
    <t>Roboty rozbiórkowe byłego peronu</t>
  </si>
  <si>
    <t>PRZYGOTOWANIE TERENU BUDOWY</t>
  </si>
  <si>
    <t>Budowa peronu dwukrawędziowego dwustronnego</t>
  </si>
  <si>
    <t>Dokumentacja projektowa ( projekty wykonawcz i powykonawcze, uzgodnienia, pozwolenia )</t>
  </si>
  <si>
    <t>Kalkulacja dla modernizacji peronu nr 1 na stacji kolejowej w Krotoszynie</t>
  </si>
  <si>
    <t>Rozbiórka torów szlakowych przęsłami o długości 25 m</t>
  </si>
  <si>
    <t>Utylizacja podkładów</t>
  </si>
  <si>
    <t>ŁĄCZNIE (netto)</t>
  </si>
  <si>
    <t>RAZEM (brutto)</t>
  </si>
  <si>
    <t>Kalkulacja dla przebudowy peronu na przystanku osobowym w Rybniku Niedobczyce</t>
  </si>
  <si>
    <t>Tarnowskie Góry, dnia 26.05.2021 r.</t>
  </si>
  <si>
    <t>BCOK.13.005 
(w zakresie pkt 1 - roboty rozbiórkowe)</t>
  </si>
  <si>
    <t>BCOK.13.006</t>
  </si>
  <si>
    <t>Roboty rozbiórkowe istniejacego peron z wywozem gruzu</t>
  </si>
  <si>
    <t>Demontaż elementów istniejącej małej architektury na peronie</t>
  </si>
  <si>
    <t>Roboty rozbiórkowe peronu</t>
  </si>
  <si>
    <t>Rozebranie istniejącej nawierzchni parkingowej i chodnikowej</t>
  </si>
  <si>
    <t>BCOK.13.006 poz.1</t>
  </si>
  <si>
    <t>BCOK.13.006 poz.3</t>
  </si>
  <si>
    <t>Montaż nowych torów klasa 1.1 w torach głównych (usługa z materiałem)</t>
  </si>
  <si>
    <t>BCOK.5.001</t>
  </si>
  <si>
    <t>Zabudowa małej architektury peronu 
(gabloty, tablice, wiata peronowa, stojaki na rowery, wskaźniki)</t>
  </si>
  <si>
    <t>Utylizacja materiału powstałego po rozbiórce istniejącego peronu</t>
  </si>
  <si>
    <t xml:space="preserve">Transport urobku po rozbiórce peronu samochodem na odl. do 15 km. </t>
  </si>
  <si>
    <t>Roboty ziemne nasypowe</t>
  </si>
  <si>
    <t>Wykonanie ogrodzeń, labiryntów</t>
  </si>
  <si>
    <t>Pochylnie, chodniki, drogi dojścia, wraz z zabudową dodatowych ogrodzeń,  labiryntów, barierek</t>
  </si>
  <si>
    <t>kalkulacja własna</t>
  </si>
  <si>
    <t>Peron</t>
  </si>
  <si>
    <t>Oznakowanie, sygnalizacje, sterowanie</t>
  </si>
  <si>
    <t>Ścianki prefabrykowane (pochylnie)</t>
  </si>
  <si>
    <t>Nawierzchnia  z kostki betonowej lub płytek betonowych (wraz z obrzeżami)</t>
  </si>
  <si>
    <t>Branża elektroenergetyczna</t>
  </si>
  <si>
    <t>Montaż nowego systemu okablowania i uszynień, demontaż istniejących słupów oświetleniowych wraz z budową nowego oświetlenia peronu i dróg dojścia</t>
  </si>
  <si>
    <t>(roboty wyceniane przez branże elektroenergetyczną)</t>
  </si>
  <si>
    <t>Branża telekomunikacji i automatyki</t>
  </si>
  <si>
    <t xml:space="preserve">Przebudowa tras kanalizacji teletechnciznej i montaż monitoringu wizyjnego </t>
  </si>
  <si>
    <t>(roboty wyceniane przez branże telekominukacyjną)</t>
  </si>
  <si>
    <t>Zabudowa systemu megafonowego (nagłośnienia)</t>
  </si>
  <si>
    <t>Cena netto</t>
  </si>
  <si>
    <t>ŁĄCZNIE - dokumentacja projektowa</t>
  </si>
  <si>
    <t>ŁĄCZNIE - realizacja prac budowlanych</t>
  </si>
  <si>
    <t>.Zakres robót budowlanych wymaga pozwolenia na budowę (pozwolenia na przebudowę)</t>
  </si>
  <si>
    <t>Dokumentacja projektowa (projekty  organizacji ruchu, projekt budowlany i zagospodarowania terenu, projekt techniczny wykonawczy, dokumentacja powykonawcza, uzgodnienia, uzyskanie pozwoleń i decyzji administracyjnych).
Wykonanie dokumentacji technicznej przez osoby uprawnione z uzyskaniem niezbędnych uzgodnień,  pozwoleniem na przebudowę;
• integralną częścią dokumentacji technicznej powinien być kosztorys inwestorski i Specyfikacje STWiOR;
• projekt przedmiotowego peronu należy przekazać do Zamawiającego celem uzgodnienia;
• projekt zgodny z aktualnymi standardami, instrukcjami i wytycznymi PKP PLK S.A. oraz spełnić wymagania TSI-PRM, aktualnych rozporządzeń, norm i zapisów prawa;
• uzyskanie wszelkich wymaganych Prawem uzgodnień, wyników badań, decyzji administracyjnych w tym decyzji Pozwoelnia na budowę;
• prowadzenie nadzoru autorskiego.</t>
  </si>
  <si>
    <t xml:space="preserve">Uwaga! 
Przyjmuje się cenę netto prac projektowych, jako procentową wartość szacowanego kosztu netto robót budowlanych. </t>
  </si>
  <si>
    <t>Cp = W% x Kb 
gdzie: Cp - cena projektu; 
Kb - spodziewany koszt budowy projektowanego obiektu; 
W% - wskaźnik procentowy</t>
  </si>
  <si>
    <t>W% - wskaźnik procentowy: 
- Wog% - wskaźnik procentowy ogólny prac projektowych ;
- Wut% - wskaźnik procentowy wynikajacy ze stopnia trudności prac z uwagi na wykonanie remontu  i przebudowy istnrijacego obiektu;
- Wna% - wskaźnik procentowy uwzględniający prowadzenia nadzorów autorskich;
- Wp% - wskaźnik procentowy uwzgledniajacy koniecznosći przerywania/wstrzymywania prac zwiazanych z opracowaniem ze względu na decyzje administracyjne i uzgodnienia oraz dostarczenia fragmentów projektu przed ukończeniem całości ;</t>
  </si>
  <si>
    <t>%</t>
  </si>
  <si>
    <t>Wog% - wskaźnik procentowy ogólny prac projektowych</t>
  </si>
  <si>
    <t>K b (wartość zaokrągolona)</t>
  </si>
  <si>
    <t>Cp - cena projektu</t>
  </si>
  <si>
    <t>zł netto</t>
  </si>
  <si>
    <t>Wut% - wskaźnik procentowy wynikajacy ze stopnia trudności prac</t>
  </si>
  <si>
    <t>Wna% - wskaźnik procentowy uwzglęniający nadzory autorskie</t>
  </si>
  <si>
    <t xml:space="preserve">Wp% - wskaźnik procentowy uwzgledniajacy koniecznosći przerywania/wstrzymywania prac </t>
  </si>
  <si>
    <t>W% - wskaźnik procentowy  ogólny (suma wskazników) kosztu wykonania prac projektowych</t>
  </si>
  <si>
    <t>PODSUMOWANIE</t>
  </si>
  <si>
    <t>Kalkulacja dla przebudowy peronów na przystanku osobowym w Rybniku Niewiadom</t>
  </si>
  <si>
    <t>Roboty rozbiórkowe istniejacych peronów z wywozem gruzu</t>
  </si>
  <si>
    <t>Przejazdy</t>
  </si>
  <si>
    <t>Montaż nowych słupów trakcyjnych wraz z demontażem istniejących</t>
  </si>
  <si>
    <t>Budowa peronu jednokrawędziowego (2 szt.)</t>
  </si>
  <si>
    <t>m</t>
  </si>
  <si>
    <t>Kalkulacja dla przebudowy peronu na przystanku osobowym w Rybniku Paruszowiec</t>
  </si>
  <si>
    <t>Budowa peronu dwukrawędziowego</t>
  </si>
  <si>
    <t>BCOK.13.005</t>
  </si>
  <si>
    <t>Regulacja istniejących torów w planie i profilu z uzupełnieniem tłucznia</t>
  </si>
  <si>
    <t>Zakres robót budowlanych wymaga pozwolenia na budowę (pozwolenia na przebudowę)</t>
  </si>
  <si>
    <t>Prace prowadzone pod nadzorem Powiatowego Konserwatora Zabytków.</t>
  </si>
  <si>
    <t>Kalkulacja dla przebudow peronu wyspowego i budowy peronu zewnetrznego na przystanku osobowym w Warszowice</t>
  </si>
  <si>
    <t>Roboty rozbiórkowe istniejacego peronu wyspowego, z wywozem gruzu</t>
  </si>
  <si>
    <t>orientacyjnie</t>
  </si>
  <si>
    <t>Montaz wygrodzenia peronu od strony krawędzi nieużytkowanej</t>
  </si>
  <si>
    <t>Budowa peronu dwukrawędziowego, wyspowego z jedną krawędzią czynną 
(1 szt.)</t>
  </si>
  <si>
    <t>L=150mb</t>
  </si>
  <si>
    <t>Budowa peronu jednokrawędziowego od strony zewnętrznej (1 szt.)</t>
  </si>
  <si>
    <t>Montaż nowych słupów trakcyjnych wraz z demontażem istniejących wchodzących w skrajnię budowanego peronu zewnetrznego</t>
  </si>
  <si>
    <t>Tarnowskie Góry, dnia 07.06.2021 r.</t>
  </si>
  <si>
    <t>Kalkulacja dla przebudowy peronu na przystanku osobowym w Pawłowice Studzionka</t>
  </si>
  <si>
    <t>Budowa peronu dwukrawędziowego - jednokrawędziowy peron z zastosowaniem ścian oporowych od strony zewnetrznej
(1 szt.)</t>
  </si>
  <si>
    <t xml:space="preserve">Budowa tras kanalizacji teletechnciznej i montaż monitoringu wizyjnego </t>
  </si>
  <si>
    <t>pozycja</t>
  </si>
  <si>
    <r>
      <t xml:space="preserve">3 </t>
    </r>
    <r>
      <rPr>
        <i/>
        <sz val="9"/>
        <color theme="1"/>
        <rFont val="Calibri"/>
        <family val="2"/>
        <charset val="238"/>
        <scheme val="minor"/>
      </rPr>
      <t>= 5% x (poz. 1 + poz. 2)</t>
    </r>
  </si>
  <si>
    <t xml:space="preserve">Wp% - wskaźnik procentowy uwzgledniajacy konieczności przerywania/wstrzymywania prac </t>
  </si>
  <si>
    <t>ŁĄCZNIE - waloryzacja o 5% wartości umowy</t>
  </si>
  <si>
    <t>Organizacja budowy, zamknięcia torowe, zastepcza organizacja ruchu</t>
  </si>
  <si>
    <t>Organizacja budowy i ruchu kolejowego  ŁĄCZNIE</t>
  </si>
  <si>
    <t>Organizacja budowy i ruchu kolejowego</t>
  </si>
  <si>
    <t xml:space="preserve">Regulacja sieci trakcyjnej oraz odbudowa uszynień i sieci powrotnej </t>
  </si>
  <si>
    <t>Rozebranie istniejącej nawierzchni parkingowej i chodnikowej
- rozbiórka istniejącących parkingów, dojść do peronu i budybnku dworca PKP</t>
  </si>
  <si>
    <t>Utylizacja materiału (gruzu) powstałego po rozbiórce istniejącego peronu</t>
  </si>
  <si>
    <t>Wykonanie ogrodzeń, labiryntów
- wygrodzenie wejść na peron wraz z zabudową labiryntów</t>
  </si>
  <si>
    <t>Montaz wygrodzenia peronu 
- wygrodzenie peronu od strony zewnętrznej oraz czoła peronu</t>
  </si>
  <si>
    <t>Ścianki prefabrykowane (pochylnie)
- zabudowa ścian pochylni</t>
  </si>
  <si>
    <t>Nawierzchnia  z kostki betonowej lub płytek betonowych (wraz z obrzeżami)
- remont i zagospodarowanie ciagu komunikacyjnego dojścia do peronu poprzez zaprojektowane i wykonanie dwóch dojść do peronu wraz z/lub zastosowaniem pochylni dla osób o ograniczonych możliwościach poruszania się– od strony ul. Jana Onufrego Zagłoby, zlokalizowane mniejwiecej na środku peronu oraz przy budynku dworca PKP, zapewniajace dopsep do peronu dla osób dla osób niepełnosprawnych i o ograniczonych możliwościach poruszania się;
- zagospodarowanie terenu i budowa parkingu dla samochodów osobowych (min. 6 miejsć postojowych) i stojaków na rowery (min. 6 stojaków) od strony budynku dworca PKP 
- zagospodarowanie terenu i zabudowa dróg dojsćia wraz z pochylnią na teren poczeklanię w budynku dworca PKP S.A.</t>
  </si>
  <si>
    <t>Dokumentacja projektowa (projekty  organizacji ruchu, projekt budowlany i zagospodarowania terenu, projekt techniczny wykonawczy, dokumentacja powykonawcza, uzgodnienia, uzyskanie pozwoleń i decyzji administracyjnych).
Wykonanie dokumentacji technicznej przez osoby uprawnione z uzyskaniem niezbędnych uzgodnień,  pozwoleniem na przebudowę;
• integralną częścią dokumentacji technicznej powinien być kosztorys inwestorski i specyfikacje STWiORB;
• projekt przedmiotowego peronu należy przekazać do Zamawiającego celem uzgodnienia;
• projekt zgodny z aktualnymi standardami, instrukcjami i wytycznymi PKP PLK S.A. oraz spełnić wymagania TSI-PRM, aktualnych rozporządzeń, norm i zapisów prawa;
• uzyskanie wszelkich wymaganych Prawem uzgodnień, wyników badań, decyzji administracyjnych w tym decyzji Pozwoelnia na budowę;
• prowadzenie nadzoru autorskiego.</t>
  </si>
  <si>
    <t>Ułożenie warstwy ochronnej - Warstwa ochronna z niesortu spycharką z zagęszczeniem
- wzmocnienie podtorza poprzez zabudowę nowych warstw ochronnych na długości torowiska przy peronowego oraz na odcinkach związanych. Konstrukcja wzmocnienia powinna obejmować standardowo zastosowanie niesortu na geosyntetyku wg wymagań analogicznych jak dla kombajnu podtorzowego zgodnie z Id3</t>
  </si>
  <si>
    <t>Roboty rozbiórkowe istniejacego peron z wywozem gruzu (peron typu niskiego, o długości ok.225mb i szerokosci ok. 2,50m)
- rozbiórka istniejącego peronu wraz z dojściami</t>
  </si>
  <si>
    <t>Zabudowa kompletu wskaźników dla krawędzi peronowej
- zabudowa 2szt. wskaźników W4 na peronie,  demontaż starych wskaźników (2 szt.)</t>
  </si>
  <si>
    <t>Budowa peronu jednokrawędziowego o długości 150mb z zachowaniem rezerwy na 200mb, wysokości 0,76m  i szerokosci min.3,0m (wraz dodatkowymi z poszerzeniami)
- roboty ziemne (usuwanie urobku z przemieszczeniem w korpus przyszłego peronu, formowanie i zagęszczanie nasypu pod peron) 
- wykonanie podbudowy z betonu zwykłego B-7.5 gr. 15 cm pod ścianki oporowe peronowe
- ustawienie ścianki peronowej na zaprawie cementowej i podłożu betonowym,
- montaż ścianek peronowych z elementów prefabrykowanych typu „L2” o wys. 139cm. z płytą peronową o wym. 200x100x10cm zdejmowalną. w wykonaniu antypoślizgowym
- mechaniczne zagęszczenie warstwy piaskowej,
- izolacja preparatami bitumicznymi (R+2xP) 
- ułożenie nawierzchni zgodnej z aktualnymi przepisami na podsypce cementowo-piaskowej na peronie i na pochylniach,
- wykonanie odwodnienia peronu wraz z zabudową  studni kanalizacyjnych i odprowadzeniem podziemnym
- wykonanie niezbędnych wycinek drzew i krzewów</t>
  </si>
  <si>
    <t>Montaż nowego toru (klasa 1.1)
- wymagane jest stosowanie podstawowo toru bezstykowego i nawierzchni typu ciężkiego z podkładami betonowymi PS93 lub PS94. Szyny 60E1.
- wykonanie odwodnienienia liniowego wraz ze studniami chłonnymi lub odprowadzeniem w ustalone miejsca – w obrębie peronu, torowiska i stref związanych</t>
  </si>
  <si>
    <t>Regulacja toru w planie i profilu nowego toru</t>
  </si>
  <si>
    <t>Montaż nowego systemu okablowania i uszynień, demontaż istniejących słupów oświetleniowych wraz z budową nowego oświetlenia peronu, parkingu i dróg dojścia
-  odbudowa sieci powrotnej i uszyniającej. Nowe uszynienia indywidualne słupów trakcyjnych, oraz łączniki międzytokowe i w miejscach połączenia szyn (na łubkach torowych) łacznikami o przekroju Al 185 mm2
- Nowo projektowane oświetlenie  zewnętrzne peronu  dostosowane do nowego układu peronowego
-  zabudować nową szafkę rozdzielczą z nowym kablem zasilającym, nowe okablowanie do słupów oświetleniowych w kanale kablowym, słupy kompozytowe łamane z oprawami LED. Sterowanie zmierzchowo – czasowe.</t>
  </si>
  <si>
    <t xml:space="preserve">Wybieranie podsypki tłuczniowej spycharkami i koparkami chwytakowymi, z transportem
- usuwanie urobku z przemieszczeniem w korpus przyszłego peronu oraz zageszczenie podłoża i zabudowa nowej warstwy ochronnej podtorza </t>
  </si>
  <si>
    <t>Rozbiórka torów szlakowych 
- tor klasyczny, szyny typu S49, podkłady drewniane sosnowe, przytwierdzenie typu K, podsypka tłuczniowa grubości ok. 0,25 m. Zanieczyszczenie podsypki ok. 60-90%.</t>
  </si>
  <si>
    <t>Opis</t>
  </si>
  <si>
    <t>L.p.</t>
  </si>
  <si>
    <t>Ryczałt</t>
  </si>
  <si>
    <t>Ilość</t>
  </si>
  <si>
    <t>Dokumentacja projektowa, organizacji ruchu, technologiczna i powykonawcza</t>
  </si>
  <si>
    <t>RCO
dla zadania pn. "przebudowa peronu w stacji Rybnik Niedobczyce" 
realizowanego w ramach Programu budowy/modernizacji przystanków kolejowych na lata 2020-2025</t>
  </si>
  <si>
    <t>RCO</t>
  </si>
  <si>
    <t>+</t>
  </si>
  <si>
    <t>Przebudowa toru nr 1 w strefie przyperonowej</t>
  </si>
  <si>
    <t>Branża drogowa + podtorze</t>
  </si>
  <si>
    <t>1 ha</t>
  </si>
  <si>
    <t>x</t>
  </si>
  <si>
    <t>=</t>
  </si>
  <si>
    <t>ha</t>
  </si>
  <si>
    <t>Regulacja toru w planie i profilu nowego toru 
/materiał i sprzęt po stronie Wykonawcy</t>
  </si>
  <si>
    <t>Odbudowa znaków kilometrowych i hektometrowych 
/materiał i sprzęt po stronie Wykonawcy</t>
  </si>
  <si>
    <t>Utylizacja podkładów 
/składowanie, transport i utylizacja po stronei Wykonawcy</t>
  </si>
  <si>
    <t>zł/1ha</t>
  </si>
  <si>
    <t>zł/1kpl</t>
  </si>
  <si>
    <t>zł/1km toru</t>
  </si>
  <si>
    <t>zł/1m3</t>
  </si>
  <si>
    <t>Branża peronowa</t>
  </si>
  <si>
    <t>- poz 2 i - poz.5  i - poz.6</t>
  </si>
  <si>
    <t>Przebudowa istniejącego peronu jednokrawedziowego</t>
  </si>
  <si>
    <t>zł/1m2</t>
  </si>
  <si>
    <t>Montaż wygrodzenia peronu
/materiał i sprzęt po stronie Wykonawcy</t>
  </si>
  <si>
    <t>1 232,57 - 1 329,24</t>
  </si>
  <si>
    <t>Kontener na odpady budowlane poj. 6 m3</t>
  </si>
  <si>
    <t>800 zł/za kontener 5m3</t>
  </si>
  <si>
    <t>Przebudowa układu dróg dojścia do peronu, zabudowa pochylni, parkingów</t>
  </si>
  <si>
    <t>Utylizacja gruzu</t>
  </si>
  <si>
    <t>/składowanie, transport i utylizacja po stronie Wykonawcy</t>
  </si>
  <si>
    <t>- poz.6</t>
  </si>
  <si>
    <t>Organizacja -  zamknięcia torowe, komunikacja zastepcza</t>
  </si>
  <si>
    <t>Komunikacja zastępcza, zamknięcia torowe</t>
  </si>
  <si>
    <t>Podsumowanie</t>
  </si>
  <si>
    <t>A</t>
  </si>
  <si>
    <t>B</t>
  </si>
  <si>
    <t>RCO
dla zadania pn. "przebudowa peronu w stacji Rybnik Niewiadom" 
realizowanego w ramach Programu budowy/modernizacji przystanków kolejowych na lata 2020-2025</t>
  </si>
  <si>
    <t>Przebudowa układu dróg dojścia do peronu, zabudowa pochylni, parkingów dla stojaków rowerowych</t>
  </si>
  <si>
    <t>Należy doliczyć 55 000,00 ( na ułożenia kabla + System Sygnalizacji Czasu)</t>
  </si>
  <si>
    <t xml:space="preserve">Zabudowa i montaż monitoringu wizyjnego </t>
  </si>
  <si>
    <t>Zabudowa systemu megafonowego (nagłośnienia) i systemu sygnalizacji czasu</t>
  </si>
  <si>
    <t>Przebudowa istniejącej trasy kanalizacji teletechnicznej w obrebie peronu</t>
  </si>
  <si>
    <t>DODAĆ!</t>
  </si>
  <si>
    <t>C = 5% 
x (poz. A + poz. B)</t>
  </si>
  <si>
    <t>Montaż  systemu okablowania i uszynień, demontaż istniejących słupów oświetleniowych wraz z budową nowego oświetlenia peronu, parkingu i dróg dojścia, sieci kablowej podziemnej</t>
  </si>
  <si>
    <t>- nowo projektowane oświetlenie  zewnętrzne peronu  dostosowane do nowego układu peronowego;
-  zabudowanie nowej szafky rozdzielczej z nowym kablem zasilającym, nowym okablowaniem do słupów oświetleniowych w kanałach kablowych, słupy kompozytowe łamane z oprawami LED. Sterowanie zmierzchowo – czasowe;</t>
  </si>
  <si>
    <t>- regulacja sieci trakcyjnej oraz odbudowa uszynień i sieci powrotnej - nowe uszynienia indywidualne słupów trakcyjnych, oraz łączniki międzytokowe i w miejscach połączenia szyn (na łubkach torowych) łacznikami o przekroju Al 185 mm2</t>
  </si>
  <si>
    <t>- remont i zagospodarowanie ciagu komunikacyjnego dojścia do peronu - dwa dojścia do peronu wraz z/lub zastosowaniem pochylni dla osób o ograniczonych możliwościach poruszania się – od strony ul. Jana Onufrego Zagłoby, zlokalizowane mniej wiecej na środku peronu oraz przy budynku dworca PKP, zapewniajace dostęp do peronu dla osób dla osób niepełnosprawnych i o ograniczonych możliwościach poruszania się;
- zagospodarowanie terenu i budowa parkingu dla samochodów osobowych (min. 6 miejsć postojowych) i stojaków na rowery (min. 6 stojaków) od strony budynku dworca PKP 
- zagospodarowanie terenu i zabudowa dróg dojsćia wraz z pochylnią na teren poczekalni w budynku dworca PKP S.A.
- zabudowa pochylni, wygrodzeń i labiryntów
/materiał i sprzęt po stronie Wykonawcy</t>
  </si>
  <si>
    <t>- rozbiórka istniejącących parkingów, dojść do peronu i budynku dworca PKP
/materiał i sprzęt po stronie Wykonawcy</t>
  </si>
  <si>
    <t>- demontaż elementów istniejącej małej architektury istniejącego peronu, zabudowa nowych elementów wyposażenia małej architektury przebudowanego peronu (gabloty, tablice, wiata peronowa, stojaki na rowery, wskaźniki, itp)
/materiał i sprzęt po stronie Wykonawcy</t>
  </si>
  <si>
    <r>
      <t xml:space="preserve">- przebudowa konstrukcji istniejacego peronu (peron typu niskiego, o długości ok.225mb i szerokosci ok. 2,50m) na peron jednokrawędziowy o długości 150mb z zachowaniem rezerwy na 200mb, wysokości 0,76m  i szerokosci min.3,0m (wraz dodatkowymi z poszerzeniami)
</t>
    </r>
    <r>
      <rPr>
        <b/>
        <i/>
        <sz val="8"/>
        <color theme="1"/>
        <rFont val="Calibri"/>
        <family val="2"/>
        <charset val="238"/>
        <scheme val="minor"/>
      </rPr>
      <t>Przewidywane paramerty peronu po przebudowie:</t>
    </r>
    <r>
      <rPr>
        <i/>
        <sz val="8"/>
        <color theme="1"/>
        <rFont val="Calibri"/>
        <family val="2"/>
        <charset val="238"/>
        <scheme val="minor"/>
      </rPr>
      <t xml:space="preserve">
• Długość użytkowa peronu po przebudowie – 150mb (z zachowanie rezerwy do 200mb);
• Szerokość peronu – min.3,0m z  poszerzeniem lokalnym w miejscu usytuowania nowej wiaty peronowej i w strefie wejścia na peron;
• Wysokość krawędzi peronu nad główką szyny – 0,76m;
• Przewiduje się prefabrykowane konstrukcje peronowe krawędzi dostępu w systemie 
w systemie „L+P”, odległość peronu standardowa 1,675m od osi toru (z uwzględnieniem odchyłek wynikających z geometrii torów);
/materiał i sprzęt po stronie Wykonawcy</t>
    </r>
  </si>
  <si>
    <t>- utylizacja podkładów 
/składowanie, transport i utylizacja po stronei Wykonawcy</t>
  </si>
  <si>
    <t>- odbudowa znaków kilometrowych i hektometrowych 
/materiał i sprzęt po stronie Wykonawcy</t>
  </si>
  <si>
    <t>- wycinka drzew i krzerów
Wykonanie niezbędnych wycinek drzew i krzewów, w zakresie wynikajacym z opracowanej dokuemtnacji, w przewidywnym zakresie 0,1ha, oraz  ok 100 szt. drzew   
 /sprzęt  po stronie Wykonawcy</t>
  </si>
  <si>
    <t>- regulacja toru w planie i profilu nowego toru 
/materiał i sprzęt po stronie Wykonawcy</t>
  </si>
  <si>
    <t>- wzmocnienie podtorza, w tym w miejscach wychlapów
(wzmocnienie podtorza na odcinku 44,830 – 44,925)
/materiał i sprzęt po stronie Wykonawcy</t>
  </si>
  <si>
    <t>Tarnowskie Góry, dnia 21.06.2021 r.</t>
  </si>
  <si>
    <t>Tarnowskie Góry, dnia 22.06.2021 r.</t>
  </si>
  <si>
    <t>Wykonanie miejscowego wzmocnienia podtorza i wymiana nawierzchni torów nr 1 i nr 2 wraz z rozjazdami i przyległymi wstawkami rozjazdowymi w obrębie peronu</t>
  </si>
  <si>
    <t>- odwodnienie podtorza 
(wykonanie odwodnienia liniowego wraz ze studniami chłonnymi lub odprowadzeniem w ustalone miejsca – w obrębie peronu, torowiska i stref związanych)
/materiał i sprzęt po stronie Wykonawcy</t>
  </si>
  <si>
    <t>- przebudowa istniejacego toru nr 1 w strefie przy peronowej
Tor nr 1 istniejacy składajacy się z nawierzchni toru klasycznego, szyny typu S49, podkłady drewniane sosnowe, podsypka tłuczniowa grubości ok. 0,25 m (zanieczyszczenie podsypki ok. 60-90%) na nowy tor (klasy 1.1) 
- wymagane jest zabudowanie toru bezstykowego i nawierzchni typu ciężkiego S 49 tor bezstykowy  z podkładami betonowymi PS83, rozstaw  0,6m.  Szyny 60E1.
/materiał i sprzęt po stronie Wykonawcy</t>
  </si>
  <si>
    <t>- odwodnienie podtorza 
(wykonanie odwodnienia liniowego wraz ze studniami chłonnymi lub odprowadzeniem w ustalone miejsca – w obrębie peronu, torowiska i stref związanych)  /materiał i sprzęt po stronie Wykonawcy</t>
  </si>
  <si>
    <t>- wzmocnienie podtorza, w tym w miejscach wychlapów
( wzmocnienie podtorza w miejscu wychlapów na długości 0.080 kmt)
/materiał i sprzęt po stronie Wykonawcy</t>
  </si>
  <si>
    <t>- wycinka drzew i krzerów
(wykonanie niezbędnych wycinek drzew i krzewów, w zakresie wynikajacym 
z opracowanej dokuemtnacji, w przewidywanym zakresie 0,2ha, oraz  ok 100szt. drzew)   /sprzęt po stronie Wykonawcy</t>
  </si>
  <si>
    <r>
      <t xml:space="preserve">Budowa dwóch peronów jednokrawędziowych (2 szt.) wraz z rozbiorką dwóch istniejących peronów </t>
    </r>
    <r>
      <rPr>
        <b/>
        <i/>
        <sz val="8"/>
        <color theme="1"/>
        <rFont val="Calibri"/>
        <family val="2"/>
        <charset val="238"/>
        <scheme val="minor"/>
      </rPr>
      <t>(1 kpl. odnosi się do 1 szt. peronu)</t>
    </r>
  </si>
  <si>
    <r>
      <t xml:space="preserve">- przebudowa peronu, rozbiórka i budowa nowego
Rozebranie konstrukcji istniejacych peronów (peron nr 1 typu niskiego, o długości ok.210mb i szerokosci ok. 2,50m, peron nr 2 typu niskiego, o długości ok.190mb i szerokosci ok. 1,20m), zabudowa dwóch peronów jednokrawedziowych zewnętrznych o długości 150mb z zachowaniem rezerwy na 200mb, wysokości 0,76m  i szerokosci min.3,5m (wraz z uwzględnienie dodatkowych poszerzeń i ścian oporowych)
</t>
    </r>
    <r>
      <rPr>
        <b/>
        <i/>
        <sz val="8"/>
        <color theme="1"/>
        <rFont val="Calibri"/>
        <family val="2"/>
        <charset val="238"/>
        <scheme val="minor"/>
      </rPr>
      <t>Przewidywane paramerty peronu po przebudowie:</t>
    </r>
    <r>
      <rPr>
        <i/>
        <sz val="8"/>
        <color theme="1"/>
        <rFont val="Calibri"/>
        <family val="2"/>
        <charset val="238"/>
        <scheme val="minor"/>
      </rPr>
      <t xml:space="preserve">
• Długość użytkowa dwóch peronów jednokrawędziowych zewnętrznych 
po przebudowie/budowie nowego – 150mb (z zachowaniem rezerwy do 200mb);
• Szerokość peronów – ok.3,5m;
• Wysokość krawędzi peronów nad główką szyny – 0,76m;
• Przewiduje się prefabrykowane konstrukcje peronowe krawędzi dostępu w systemie 
w systemie „L+P”, odległość peronu standardowa 1,675m od osi toru (z uwzględnieniem odchyłek wynikających z geometrii torów);
Usytuowanie peronów po przebudowie może powodować miejscowe wysunięcie ich elementów poza teren zamknięty. Należy miejscowo ograniczyć ten wpływ, stosując ściankę oporową od zewnętrznej strony peronu. 
/materiał i sprzęt po stronie Wykonawcy</t>
    </r>
  </si>
  <si>
    <t>- montaż wygrodzenia peronów (2szt.)
/materiał i sprzęt po stronie Wykonawcy</t>
  </si>
  <si>
    <t>- rozbiórka istniejącących nawierzchni i dojść do peronów
/materiał i sprzęt po stronie Wykonawcy</t>
  </si>
  <si>
    <t xml:space="preserve">- zabudowa stojaków na rowery, dojść do peronu i pochylni
- remont i zagospodarowanie ciagu komunikacyjnego dojścia do peronu - niezależne dojścia do każdego peronu wraz z/lub zastosowaniem pochylni dla osób o ograniczonych możliwościach poruszania się
- zagospodarowanie terenu i budowa stojaków na rowery (min. 6 stojaków)
- zabudowa pochylni, wygrodzeń i labiryntów
/materiał i sprzęt po stronie Wykonawcy
</t>
  </si>
  <si>
    <t>- nowo projektowane oświetlenie  zewnętrzne peronu  dostosowane do nowego układu peronowego 
-  zabudowanie oświetlenia zewnętrznego peronu, dostosowane do nowego układu peronowego,
- zabudowa nowej szafki rozdzielczej z nowym kablem zasilającym, 
- nowe okablowanie do słupów oświetleniowych w kanale kablowym, 
- słupy kompozytowe łamane z oprawami LED,
- sterowanie zmierzchowo – czasowe.</t>
  </si>
  <si>
    <t>- wymiana  konstrukcji wsporczych zabudowanych w peronie nr 1 i 2 z zachowaniem skrajni GPL-1 Dopusza się możliwość zabudowy konstrukcji bramkowych lub konstrukcji parasolowych. Sieć trakcyjna musi być przebudowana na długości projektowanego peronu (150m). Istniejącą sieć górną lina  nośna i przewody jezdne zabudować na nowych słupach trakcyjnych wraz z wymiana wieszaków, połączeń elektrycznych itp. Konstrukcje wsporcze muszą być dostosowane do istniejących warunków m.in. oddziaływania szkód górniczych. Czynne szkody górnicze w zakresie od km 45,500 do km 51,500. Dokonać regulacji sieci trakcyjnej i odbudowy sieci powrotnej i uszyniającej zgodnie z przepisami PKP PLK S.A</t>
  </si>
  <si>
    <t>Wycinka drzew i krzewów</t>
  </si>
  <si>
    <t>- wymiana nawierzchni torów nr 1 i nr 2 wraz z rozjazdami i przyległymi wstawkami rozjazdowymi w obrębie peronu
Tor nr 1 - od styku za krzyżownicą rozjazdu Nr 1 (km 46,707) do km 46,938 (początek wymiany  od przejazdu kolejowo-drogowego kategorii A km 46,956 w ciągu ulicy Sportowej). 
Istniejący tor klasyczny, szyny typu S 49, podkłady drewniane sosnowe, przytwierdzenie typu K, podsypka tłuczniowa grubości ok. 0,25 m. Zanieczyszczenie podsypki ok. 70-90%. 
Tor nr 2 – od styku przediglicowego rozjazdu nr 2 (km 46,764) do km 46,938 (początek wymiany  od przejazdu kolejowo-drogowego kategorii A km 46,956 w ciągu ulicy Sportowej). W km 46,764-46,938 tor istniejący klasyczny, szyny typu S49 , podkłady strunobetonowe INBK 1971 , przytwierdzenie typu K, podsypka tłuczniowa grubości ok. 0,25 m. Zanieczyszczenie podsypki ok. 70-90%. 
Wymiana rozjazdów nr 1 i 2 wraz z wstawkami rozjazdowymi typ S49-1:9 R300 na podrozjazdnicach drewnianych drewno twarde.
Wymiana torów nr 1 i 2 na nowe o nastepujacych parametrach:
 wymagane jest zabudowanie toru bezstykowego i nawierzchni typu ciężkiego S 49 tor bezstykowy  z podkładami betonowymi PS83, rozstaw  0,6m.  Szyny 60E1.
Wymiana toru nr 1 na długości 0,231kmt
Wymiana toru nr 2 na długości 0,174kmt
Wymiana toru nr 2c na długości 0,062kmt
/materiał i sprzęt po stronie Wykonawcy</t>
  </si>
  <si>
    <t>Odbudowa znaków kilometrowych i hektometrowych</t>
  </si>
  <si>
    <t>Budowa peronu jednokrawędziowego (1szt.)</t>
  </si>
  <si>
    <t>Tarnowskie Góry, dnia 16.02.2022 r.</t>
  </si>
  <si>
    <t>Zestawienie zbiorcze</t>
  </si>
  <si>
    <t>Zadanie pn. "przebudowa peronów w stacji Warszowice" 
realizowanego w ramach Programu budowy/modernizacji przystanków kolejowych na lata 2020-2025</t>
  </si>
  <si>
    <t>Zadanie pn. "budowa peronów w stacji Pawłowice Studzionka" 
realizowanego w ramach Programu budowy/modernizacji przystanków kolejowych na lata 2020-2025</t>
  </si>
  <si>
    <t>Zakres robót budowlanych wymaga pozwolenia na budowę (pozwolenia na przebudowę i budowę nowego peronu).
Wymagane może być uzyskanie decyzji o ULICP.</t>
  </si>
  <si>
    <t>WYCENA SZACUNKOWA
dla zadania pn. "przebudowa peronów w stacji Warszowice i budowa peronów w stacji Pawłowice Studzionka" 
realizowanego w ramach Programu budowy/modernizacji przystanków kolejowych na lata 2020-2025</t>
  </si>
  <si>
    <t>Zabudowa parkingów dla samochodów i miejsc na stojaki rowerowem wraz z budową chodnika łączącego dojscie do peronu z parkingiem</t>
  </si>
  <si>
    <t>Montaż nowego systemu okablowania i słupów oświetleniowych parkingu i drogi dojścia z parkingu do peronu</t>
  </si>
  <si>
    <t>Podsumowanie - zakres podstawowy</t>
  </si>
  <si>
    <t>Podsumowanie - całość</t>
  </si>
  <si>
    <t>Organizacja -  zamknięcia torowe</t>
  </si>
  <si>
    <t>Zabudowa parkingu - prawo opcji</t>
  </si>
  <si>
    <t>Podsumowanie - zabudowa parkingu - prawo opcji</t>
  </si>
  <si>
    <t>ŁĄCZNIE (netto) - zabudowa parkingu - prawo opcji</t>
  </si>
  <si>
    <t>(miejscowość, data i podpis/y zgodnie
z reprezentacją wykonawcy)</t>
  </si>
  <si>
    <t>CZĘŚĆ A</t>
  </si>
  <si>
    <t>Lp.</t>
  </si>
  <si>
    <t>CZĘŚĆ B</t>
  </si>
  <si>
    <t>CZĘŚĆ C</t>
  </si>
  <si>
    <t>Realizacja prac budowlanych</t>
  </si>
  <si>
    <t>Prawo opcji</t>
  </si>
  <si>
    <t>C</t>
  </si>
  <si>
    <t>ŁĄCZNIE - prawo opcji</t>
  </si>
  <si>
    <t xml:space="preserve">pozycja </t>
  </si>
  <si>
    <t>Razem</t>
  </si>
  <si>
    <t>Dokumentacja projektowa (projekty  organizacji ruchu, projekt budowlany i zagospodarowania terenu, projekt techniczny wykonawczy, dokumentacja powykonawcza, uzgodnienia, uzyskanie pozwoleń i decyzji administracyjnych)</t>
  </si>
  <si>
    <t>- nowo projektowane oświetlenie  zewnętrzne peronu  dostosowane do nowego układu peronowego 
- wykonanie nowego przyłącza energetycznego lub przebudowa istniejącego
-  zabudowanie oświetlenia zewnętrznego peronu, dostosowane do nowego układu peronowego,
- zabudowa nowej szafki rozdzielczej z nowym kablem zasilającym, 
- nowe okablowanie do słupów oświetleniowych w kanale kablowym, 
- słupy kompozytowe łamane z oprawami LED,
- sterowanie zmierzchowo – czasowe.</t>
  </si>
  <si>
    <t>część</t>
  </si>
  <si>
    <t>- nowo projektowane oświetlenie;
- zabudowa lub rozbudowa nowej szafki rozdzielczej z nowym kablem zasilającym;
- nowe okablowanie do słupów oświetleniowych w kanale kablowym w chodniku/w ziemi; 
- słupy kompozytowe łamane z oprawami LED;
- sterowanie zmierzchowo – czasowe</t>
  </si>
  <si>
    <t>Przebudowa peronu nr 1 jednokrawędziowego zewnetrznego , wraz z zabudową elementów odwodnienia, wygrodzenia peronu</t>
  </si>
  <si>
    <t>Montaż elementów wyposażenia (tablic informacyjnych, gablot informacyjnych itp.) oraz małej architektury (ławki, kosze na odpady, stojaki rowerowe, poręcze do odpoczynku na stojąco itp .) na przebudowywanym peronie nr 1  – według wytycznych Ipi-1 oraz Ipi-2</t>
  </si>
  <si>
    <t>Przebudowa układu dróg dojścia do peronu nr 1, zabudowa dróg dojscia do peronu dostosowanych dla osób niepełnosprawnych, zabudowa niezbędnych wygrodzeń dróg dojścia</t>
  </si>
  <si>
    <t>Dostosowanie elementów małej architektury peronowej, na peronie nr 2 do aktualnych wymagań (demontaż istniejacych elementów wyposażenia peronu nr 2, montaż nowych elementów zgodnych z aktualnymi wytycznymi Zamawiajacego)</t>
  </si>
  <si>
    <t>Montaż nowego systemu okablowania i uszynień, demontaż istniejących słupów oświetleniowych wraz z budową nowego oświetlenia peronu i dróg dojścia, parkingu i oswietlenia przejścia dla niepełnosprawnych osób</t>
  </si>
  <si>
    <t>Demontaż istniejących 4 szt słupów trakcyjnych wraz z fundamentem żelbetowym</t>
  </si>
  <si>
    <t xml:space="preserve">Zabudowa kanalizacji kablowej dla kabli srk i telekomunikacji od nastawni do peronu i w obrębie peronu w tym:
1) Sieć teletransmisyjna na obiekcie (dostępowa, LAN)
2) Sieć łącząca obiekty (tj. IP MPLS) </t>
  </si>
  <si>
    <t>Zabudowa i montaż monitoringu wizyjnego zgodnie z wytycznymi instrukcji IPI-4</t>
  </si>
  <si>
    <t>Zabudowa systemu rozgłoszeniowego zgodnie z wytycznymi instrukcji IPI-6.</t>
  </si>
  <si>
    <t>Zabudowa systemu sygnalizacji czasu zgodnie z wytycznymi instrukcji IPI-6.</t>
  </si>
  <si>
    <t>Dostosowanie infrastruktury teletechnicznej na peronie nr 2 do aktualnych wytycznych</t>
  </si>
  <si>
    <t>Zabudowa urządzeń rogatkowych wraz z telewizją przemysłową TVU na dojściu do peronów kategorii E , w poziomie szyn - sterowanie z nast. RaO Radlin Obszary</t>
  </si>
  <si>
    <t>- zabudowa parkingu (min. 15 szt)
- zabudowa stojaków na rowery (min. 10 szt) 
- zabudowa dojścia do peronu
- roboty ziemne, niwelacyjne, podbudowy i nawierzchniowe (w tym niwelowanie skarpy), zagospodarowanie terenu, 
- wycinka drzew i krzewów
- prace geodezyjne przy ewentualnym wykonaniu podziałów działki</t>
  </si>
  <si>
    <t>Wymiana  konstrukcji wsporczych  z zachowaniem skrajni GPL-1 Sieć trakcyjna musi być przebudowana na długości projektowanego peronu (150m). Istniejącą sieć górną lina  nośna i przewody jezdne zabudować na nowych słupach trakcyjnych wraz z wymiana wieszaków, połączeń elektrycznych itp. Konstrukcje wsporcze muszą być dostosowane do istniejących warunków. Dokonać regulacji sieci trakcyjnej i odbudowy sieci powrotnej i uszyniającej zgodnie z przepisami PKP PLK S.A</t>
  </si>
  <si>
    <t xml:space="preserve">Zamknięcia torowe, komunikacja zastępcza autobusowa </t>
  </si>
  <si>
    <t>Zakres robót budowlanych wymaga pozwolenia na budowę lub zgłoszenia robót zwiazanego z przebudową peronu, zabudową drogi dojscia do peronu oraz wymaganą prawem opcji zabudową parkingu.</t>
  </si>
  <si>
    <t>ŁĄCZNIE (netto) bez prawa opcji</t>
  </si>
  <si>
    <t>Załącznik nr 9 do SWZ – Formularz Rozbicia Ceny Ofertowej</t>
  </si>
  <si>
    <t>RCO
 dla zadania pn. „Modernizacja przystanku Radlin Obszary na linii kolejowej nr 158”
w ramach
„Rządowego programu budowy lub modernizacji przystanków kolejowych na lata 2021–2025”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</si>
</sst>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8" formatCode="#,##0.00\ &quot;zł&quot;;[Red]\-#,##0.00\ &quot;zł&quot;"/>
    <numFmt numFmtId="164" formatCode="0.0"/>
    <numFmt numFmtId="165" formatCode="#,##0.0"/>
    <numFmt numFmtId="166" formatCode="0.000"/>
    <numFmt numFmtId="167" formatCode="#,##0.000\ &quot;zł&quot;;[Red]\-#,##0.000\ &quot;zł&quot;"/>
  </numFmts>
  <fonts count="35" x14ac:knownFonts="1">
    <font>
      <sz val="11"/>
      <color theme="1"/>
      <name val="Calibri"/>
      <family val="2"/>
      <charset val="238"/>
      <scheme val="minor"/>
    </font>
    <font>
      <i/>
      <sz val="6"/>
      <color theme="1"/>
      <name val="Calibri"/>
      <family val="2"/>
      <charset val="238"/>
      <scheme val="minor"/>
    </font>
    <font>
      <sz val="6"/>
      <color theme="1"/>
      <name val="Times New Roman"/>
      <family val="1"/>
      <charset val="238"/>
    </font>
    <font>
      <sz val="6"/>
      <color rgb="FFFFFFFF"/>
      <name val="Calibri"/>
      <family val="2"/>
      <charset val="238"/>
      <scheme val="minor"/>
    </font>
    <font>
      <sz val="6.5"/>
      <color theme="1"/>
      <name val="Times New Roman"/>
      <family val="1"/>
      <charset val="238"/>
    </font>
    <font>
      <sz val="6"/>
      <color theme="1"/>
      <name val="Calibri"/>
      <family val="2"/>
      <charset val="238"/>
      <scheme val="minor"/>
    </font>
    <font>
      <sz val="6"/>
      <color rgb="FF538DD5"/>
      <name val="Calibri"/>
      <family val="2"/>
      <charset val="238"/>
      <scheme val="minor"/>
    </font>
    <font>
      <sz val="6"/>
      <name val="Calibri"/>
      <family val="2"/>
      <charset val="238"/>
      <scheme val="minor"/>
    </font>
    <font>
      <sz val="10"/>
      <color theme="1"/>
      <name val="Calibri"/>
      <family val="2"/>
      <charset val="238"/>
      <scheme val="minor"/>
    </font>
    <font>
      <b/>
      <sz val="10"/>
      <color theme="1"/>
      <name val="Calibri"/>
      <family val="2"/>
      <charset val="238"/>
      <scheme val="minor"/>
    </font>
    <font>
      <sz val="8"/>
      <color theme="1"/>
      <name val="Calibri"/>
      <family val="2"/>
      <charset val="238"/>
      <scheme val="minor"/>
    </font>
    <font>
      <i/>
      <sz val="8"/>
      <color theme="1"/>
      <name val="Calibri"/>
      <family val="2"/>
      <charset val="238"/>
      <scheme val="minor"/>
    </font>
    <font>
      <sz val="8"/>
      <color theme="1"/>
      <name val="Times New Roman"/>
      <family val="1"/>
      <charset val="238"/>
    </font>
    <font>
      <sz val="8"/>
      <color rgb="FFFFFFFF"/>
      <name val="Calibri"/>
      <family val="2"/>
      <charset val="238"/>
      <scheme val="minor"/>
    </font>
    <font>
      <sz val="8"/>
      <color rgb="FF538DD5"/>
      <name val="Calibri"/>
      <family val="2"/>
      <charset val="238"/>
      <scheme val="minor"/>
    </font>
    <font>
      <sz val="8"/>
      <name val="Calibri"/>
      <family val="2"/>
      <charset val="238"/>
      <scheme val="minor"/>
    </font>
    <font>
      <sz val="8"/>
      <color theme="1"/>
      <name val="Calibri"/>
      <family val="2"/>
      <scheme val="minor"/>
    </font>
    <font>
      <i/>
      <sz val="8"/>
      <name val="Calibri"/>
      <family val="2"/>
      <charset val="238"/>
      <scheme val="minor"/>
    </font>
    <font>
      <i/>
      <sz val="10"/>
      <color theme="1"/>
      <name val="Calibri"/>
      <family val="2"/>
      <charset val="238"/>
      <scheme val="minor"/>
    </font>
    <font>
      <i/>
      <sz val="9"/>
      <color theme="1"/>
      <name val="Calibri"/>
      <family val="2"/>
      <charset val="238"/>
      <scheme val="minor"/>
    </font>
    <font>
      <b/>
      <i/>
      <sz val="8"/>
      <color theme="1"/>
      <name val="Calibri"/>
      <family val="2"/>
      <charset val="238"/>
      <scheme val="minor"/>
    </font>
    <font>
      <b/>
      <sz val="8"/>
      <color theme="1"/>
      <name val="Calibri"/>
      <family val="2"/>
      <charset val="238"/>
      <scheme val="minor"/>
    </font>
    <font>
      <sz val="9"/>
      <color theme="1"/>
      <name val="Calibri"/>
      <family val="2"/>
      <charset val="238"/>
      <scheme val="minor"/>
    </font>
    <font>
      <b/>
      <sz val="9"/>
      <color theme="1"/>
      <name val="Calibri"/>
      <family val="2"/>
      <charset val="238"/>
      <scheme val="minor"/>
    </font>
    <font>
      <sz val="8"/>
      <color rgb="FFFF0000"/>
      <name val="Calibri"/>
      <family val="2"/>
      <charset val="238"/>
      <scheme val="minor"/>
    </font>
    <font>
      <b/>
      <sz val="8"/>
      <color rgb="FFFF0000"/>
      <name val="Calibri"/>
      <family val="2"/>
      <charset val="238"/>
      <scheme val="minor"/>
    </font>
    <font>
      <b/>
      <i/>
      <sz val="8"/>
      <name val="Calibri"/>
      <family val="2"/>
      <charset val="238"/>
      <scheme val="minor"/>
    </font>
    <font>
      <i/>
      <sz val="9"/>
      <name val="Calibri"/>
      <family val="2"/>
      <charset val="238"/>
      <scheme val="minor"/>
    </font>
    <font>
      <sz val="9"/>
      <name val="Calibri"/>
      <family val="2"/>
      <charset val="238"/>
      <scheme val="minor"/>
    </font>
    <font>
      <sz val="11"/>
      <name val="Calibri"/>
      <family val="2"/>
      <charset val="238"/>
      <scheme val="minor"/>
    </font>
    <font>
      <b/>
      <sz val="11"/>
      <color theme="1"/>
      <name val="Calibri"/>
      <family val="2"/>
      <charset val="238"/>
      <scheme val="minor"/>
    </font>
    <font>
      <b/>
      <sz val="8"/>
      <name val="Calibri"/>
      <family val="2"/>
      <charset val="238"/>
      <scheme val="minor"/>
    </font>
    <font>
      <b/>
      <i/>
      <sz val="9"/>
      <color theme="1"/>
      <name val="Arial"/>
      <family val="2"/>
      <charset val="238"/>
    </font>
    <font>
      <b/>
      <sz val="7"/>
      <color theme="1"/>
      <name val="Calibri"/>
      <family val="2"/>
      <charset val="238"/>
      <scheme val="minor"/>
    </font>
    <font>
      <sz val="7"/>
      <color theme="1"/>
      <name val="Calibri"/>
      <family val="2"/>
      <charset val="238"/>
      <scheme val="minor"/>
    </font>
  </fonts>
  <fills count="7">
    <fill>
      <patternFill patternType="none"/>
    </fill>
    <fill>
      <patternFill patternType="gray125"/>
    </fill>
    <fill>
      <patternFill patternType="solid">
        <fgColor rgb="FFBFBFBF"/>
        <bgColor indexed="64"/>
      </patternFill>
    </fill>
    <fill>
      <patternFill patternType="solid">
        <fgColor rgb="FF538DD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00"/>
        <bgColor indexed="64"/>
      </patternFill>
    </fill>
  </fills>
  <borders count="4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rgb="FF538DD5"/>
      </bottom>
      <diagonal/>
    </border>
    <border>
      <left/>
      <right style="medium">
        <color indexed="64"/>
      </right>
      <top/>
      <bottom style="medium">
        <color rgb="FF538DD5"/>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rgb="FF538DD5"/>
      </top>
      <bottom/>
      <diagonal/>
    </border>
    <border>
      <left style="medium">
        <color indexed="64"/>
      </left>
      <right/>
      <top style="medium">
        <color rgb="FF538DD5"/>
      </top>
      <bottom/>
      <diagonal/>
    </border>
    <border>
      <left style="medium">
        <color indexed="64"/>
      </left>
      <right/>
      <top/>
      <bottom/>
      <diagonal/>
    </border>
    <border>
      <left/>
      <right style="medium">
        <color indexed="64"/>
      </right>
      <top style="medium">
        <color rgb="FF538DD5"/>
      </top>
      <bottom/>
      <diagonal/>
    </border>
    <border>
      <left style="medium">
        <color indexed="64"/>
      </left>
      <right/>
      <top style="medium">
        <color indexed="64"/>
      </top>
      <bottom style="medium">
        <color indexed="64"/>
      </bottom>
      <diagonal/>
    </border>
    <border>
      <left style="medium">
        <color indexed="64"/>
      </left>
      <right/>
      <top style="medium">
        <color indexed="64"/>
      </top>
      <bottom style="medium">
        <color rgb="FF538DD5"/>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medium">
        <color rgb="FF538DD5"/>
      </bottom>
      <diagonal/>
    </border>
    <border>
      <left style="medium">
        <color indexed="64"/>
      </left>
      <right style="thin">
        <color indexed="64"/>
      </right>
      <top style="medium">
        <color rgb="FF538DD5"/>
      </top>
      <bottom/>
      <diagonal/>
    </border>
    <border>
      <left style="medium">
        <color indexed="64"/>
      </left>
      <right style="thin">
        <color indexed="64"/>
      </right>
      <top/>
      <bottom/>
      <diagonal/>
    </border>
    <border>
      <left/>
      <right/>
      <top/>
      <bottom style="medium">
        <color indexed="64"/>
      </bottom>
      <diagonal/>
    </border>
    <border>
      <left style="medium">
        <color indexed="64"/>
      </left>
      <right/>
      <top style="medium">
        <color indexed="64"/>
      </top>
      <bottom/>
      <diagonal/>
    </border>
    <border>
      <left style="thin">
        <color indexed="64"/>
      </left>
      <right/>
      <top/>
      <bottom/>
      <diagonal/>
    </border>
    <border>
      <left/>
      <right/>
      <top style="medium">
        <color rgb="FF538DD5"/>
      </top>
      <bottom/>
      <diagonal/>
    </border>
    <border>
      <left/>
      <right style="medium">
        <color indexed="64"/>
      </right>
      <top style="medium">
        <color indexed="64"/>
      </top>
      <bottom style="medium">
        <color rgb="FF538DD5"/>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hair">
        <color auto="1"/>
      </bottom>
      <diagonal/>
    </border>
    <border>
      <left/>
      <right/>
      <top style="hair">
        <color auto="1"/>
      </top>
      <bottom/>
      <diagonal/>
    </border>
  </borders>
  <cellStyleXfs count="1">
    <xf numFmtId="0" fontId="0" fillId="0" borderId="0"/>
  </cellStyleXfs>
  <cellXfs count="396">
    <xf numFmtId="0" fontId="0" fillId="0" borderId="0" xfId="0"/>
    <xf numFmtId="0" fontId="1" fillId="2" borderId="3" xfId="0" applyFont="1" applyFill="1" applyBorder="1" applyAlignment="1">
      <alignment horizontal="right" vertical="center" wrapText="1"/>
    </xf>
    <xf numFmtId="0" fontId="4" fillId="2" borderId="4" xfId="0" applyFont="1" applyFill="1" applyBorder="1" applyAlignment="1">
      <alignment vertical="center" wrapText="1"/>
    </xf>
    <xf numFmtId="0" fontId="2" fillId="3" borderId="6" xfId="0" applyFont="1" applyFill="1" applyBorder="1" applyAlignment="1">
      <alignment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4" fillId="3" borderId="4" xfId="0" applyFont="1" applyFill="1" applyBorder="1" applyAlignment="1">
      <alignment vertical="center" wrapText="1"/>
    </xf>
    <xf numFmtId="0" fontId="4" fillId="2" borderId="18" xfId="0" applyFont="1" applyFill="1" applyBorder="1" applyAlignment="1">
      <alignment vertical="center" wrapText="1"/>
    </xf>
    <xf numFmtId="0" fontId="2" fillId="3" borderId="19" xfId="0" applyFont="1" applyFill="1" applyBorder="1" applyAlignment="1">
      <alignment vertical="center" wrapText="1"/>
    </xf>
    <xf numFmtId="4" fontId="1" fillId="0" borderId="18" xfId="0" applyNumberFormat="1" applyFont="1" applyBorder="1" applyAlignment="1">
      <alignment horizontal="right" vertical="center" wrapText="1"/>
    </xf>
    <xf numFmtId="4" fontId="1" fillId="0" borderId="21" xfId="0" applyNumberFormat="1" applyFont="1" applyBorder="1" applyAlignment="1">
      <alignment horizontal="right" vertical="center" wrapText="1"/>
    </xf>
    <xf numFmtId="0" fontId="1" fillId="0" borderId="18" xfId="0" applyFont="1" applyBorder="1" applyAlignment="1">
      <alignment horizontal="right" vertical="center" wrapText="1"/>
    </xf>
    <xf numFmtId="0" fontId="4" fillId="3" borderId="18" xfId="0" applyFont="1" applyFill="1" applyBorder="1" applyAlignment="1">
      <alignment vertical="center" wrapText="1"/>
    </xf>
    <xf numFmtId="8" fontId="1" fillId="0" borderId="22" xfId="0" applyNumberFormat="1" applyFont="1" applyBorder="1" applyAlignment="1">
      <alignment horizontal="right" vertical="center" wrapText="1"/>
    </xf>
    <xf numFmtId="8" fontId="1" fillId="0" borderId="0" xfId="0" applyNumberFormat="1" applyFont="1" applyBorder="1" applyAlignment="1">
      <alignment horizontal="right" vertical="center" wrapText="1"/>
    </xf>
    <xf numFmtId="0" fontId="1" fillId="0" borderId="3" xfId="0" applyFont="1" applyBorder="1" applyAlignment="1">
      <alignment vertical="center" wrapText="1"/>
    </xf>
    <xf numFmtId="0" fontId="1" fillId="2" borderId="3" xfId="0" applyFont="1" applyFill="1" applyBorder="1" applyAlignment="1">
      <alignment horizontal="left" vertical="center" wrapText="1" indent="15"/>
    </xf>
    <xf numFmtId="0" fontId="3" fillId="3" borderId="5" xfId="0" applyFont="1" applyFill="1" applyBorder="1" applyAlignment="1">
      <alignment vertical="center" wrapText="1"/>
    </xf>
    <xf numFmtId="0" fontId="3" fillId="3" borderId="5" xfId="0" applyFont="1" applyFill="1" applyBorder="1" applyAlignment="1">
      <alignment horizontal="center" vertical="center" wrapText="1"/>
    </xf>
    <xf numFmtId="0" fontId="1" fillId="0" borderId="7" xfId="0" applyFont="1" applyBorder="1" applyAlignment="1">
      <alignment vertical="center" wrapText="1"/>
    </xf>
    <xf numFmtId="0" fontId="3" fillId="3" borderId="3" xfId="0" applyFont="1" applyFill="1" applyBorder="1" applyAlignment="1">
      <alignment horizontal="center" vertical="center" wrapText="1"/>
    </xf>
    <xf numFmtId="0" fontId="1" fillId="0" borderId="9" xfId="0" applyFont="1" applyBorder="1" applyAlignment="1">
      <alignment vertical="center" wrapText="1"/>
    </xf>
    <xf numFmtId="0" fontId="0" fillId="0" borderId="1" xfId="0" applyBorder="1"/>
    <xf numFmtId="0" fontId="2" fillId="3" borderId="1" xfId="0" applyFont="1" applyFill="1" applyBorder="1" applyAlignment="1">
      <alignment vertical="center" wrapText="1"/>
    </xf>
    <xf numFmtId="0" fontId="5" fillId="0" borderId="1" xfId="0" applyFont="1" applyBorder="1"/>
    <xf numFmtId="0" fontId="5" fillId="4" borderId="3" xfId="0" applyFont="1" applyFill="1" applyBorder="1" applyAlignment="1">
      <alignment horizontal="center" vertical="center" wrapText="1"/>
    </xf>
    <xf numFmtId="0" fontId="4" fillId="4" borderId="18" xfId="0" applyFont="1" applyFill="1" applyBorder="1" applyAlignment="1">
      <alignment vertical="center" wrapText="1"/>
    </xf>
    <xf numFmtId="0" fontId="4" fillId="4" borderId="4" xfId="0" applyFont="1" applyFill="1" applyBorder="1" applyAlignment="1">
      <alignment vertical="center" wrapText="1"/>
    </xf>
    <xf numFmtId="0" fontId="4" fillId="4" borderId="4" xfId="0" applyFont="1" applyFill="1" applyBorder="1" applyAlignment="1">
      <alignment horizontal="center" vertical="center" wrapText="1"/>
    </xf>
    <xf numFmtId="8" fontId="1" fillId="0" borderId="4" xfId="0" applyNumberFormat="1" applyFont="1" applyBorder="1" applyAlignment="1">
      <alignment horizontal="right" vertical="center" wrapText="1"/>
    </xf>
    <xf numFmtId="8" fontId="1" fillId="0" borderId="8" xfId="0" applyNumberFormat="1" applyFont="1" applyBorder="1" applyAlignment="1">
      <alignment horizontal="right" vertical="center" wrapText="1"/>
    </xf>
    <xf numFmtId="0" fontId="1" fillId="0" borderId="21" xfId="0" applyFont="1" applyBorder="1" applyAlignment="1">
      <alignment horizontal="right" vertical="center" wrapText="1"/>
    </xf>
    <xf numFmtId="0" fontId="9" fillId="0" borderId="0" xfId="0" applyFont="1"/>
    <xf numFmtId="0" fontId="8" fillId="0" borderId="0" xfId="0" applyFont="1"/>
    <xf numFmtId="0" fontId="8" fillId="0" borderId="0" xfId="0" applyFont="1" applyAlignment="1">
      <alignment horizontal="center"/>
    </xf>
    <xf numFmtId="0" fontId="8" fillId="0" borderId="0" xfId="0" applyFont="1" applyAlignment="1">
      <alignment wrapText="1"/>
    </xf>
    <xf numFmtId="0" fontId="10" fillId="0" borderId="0" xfId="0" applyFont="1"/>
    <xf numFmtId="0" fontId="16" fillId="0" borderId="0" xfId="0" applyFont="1" applyBorder="1" applyAlignment="1">
      <alignment horizontal="center" vertical="center" wrapText="1"/>
    </xf>
    <xf numFmtId="0" fontId="13" fillId="3" borderId="28" xfId="0" applyFont="1" applyFill="1" applyBorder="1" applyAlignment="1">
      <alignment horizontal="center" vertical="center" wrapText="1"/>
    </xf>
    <xf numFmtId="0" fontId="11" fillId="0" borderId="28" xfId="0" applyFont="1" applyBorder="1" applyAlignment="1">
      <alignment horizontal="left" vertical="center" wrapText="1"/>
    </xf>
    <xf numFmtId="0" fontId="16" fillId="0" borderId="0" xfId="0" applyFont="1" applyBorder="1" applyAlignment="1">
      <alignment horizontal="center" vertical="center" wrapText="1"/>
    </xf>
    <xf numFmtId="0" fontId="12" fillId="3" borderId="28" xfId="0" applyFont="1" applyFill="1" applyBorder="1" applyAlignment="1">
      <alignment vertical="center" wrapText="1"/>
    </xf>
    <xf numFmtId="0" fontId="11" fillId="0" borderId="28" xfId="0" applyFont="1" applyBorder="1" applyAlignment="1">
      <alignment horizontal="center" vertical="center" wrapText="1"/>
    </xf>
    <xf numFmtId="4" fontId="11" fillId="0" borderId="28" xfId="0" applyNumberFormat="1" applyFont="1" applyBorder="1" applyAlignment="1">
      <alignment horizontal="right" vertical="center" wrapText="1"/>
    </xf>
    <xf numFmtId="8" fontId="11" fillId="0" borderId="28" xfId="0" applyNumberFormat="1" applyFont="1" applyBorder="1" applyAlignment="1">
      <alignment horizontal="right" vertical="center" wrapText="1"/>
    </xf>
    <xf numFmtId="0" fontId="10" fillId="5" borderId="28" xfId="0" applyFont="1" applyFill="1" applyBorder="1" applyAlignment="1">
      <alignment horizontal="center" vertical="center" wrapText="1"/>
    </xf>
    <xf numFmtId="0" fontId="10" fillId="5" borderId="28" xfId="0" applyFont="1" applyFill="1" applyBorder="1" applyAlignment="1">
      <alignment horizontal="center" vertical="center" wrapText="1"/>
    </xf>
    <xf numFmtId="0" fontId="11" fillId="0" borderId="28" xfId="0" applyFont="1" applyBorder="1" applyAlignment="1">
      <alignment vertical="center" wrapText="1"/>
    </xf>
    <xf numFmtId="0" fontId="12" fillId="2" borderId="28" xfId="0" applyFont="1" applyFill="1" applyBorder="1" applyAlignment="1">
      <alignment vertical="center" wrapText="1"/>
    </xf>
    <xf numFmtId="0" fontId="11" fillId="2" borderId="28" xfId="0" applyFont="1" applyFill="1" applyBorder="1" applyAlignment="1">
      <alignment horizontal="right" vertical="center" wrapText="1"/>
    </xf>
    <xf numFmtId="0" fontId="17" fillId="0" borderId="28" xfId="0" applyFont="1" applyBorder="1" applyAlignment="1">
      <alignment horizontal="left" vertical="center" wrapText="1"/>
    </xf>
    <xf numFmtId="0" fontId="17" fillId="0" borderId="28" xfId="0" applyFont="1" applyBorder="1" applyAlignment="1">
      <alignment horizontal="center" vertical="center" wrapText="1"/>
    </xf>
    <xf numFmtId="4" fontId="17" fillId="0" borderId="28" xfId="0" applyNumberFormat="1" applyFont="1" applyBorder="1" applyAlignment="1">
      <alignment horizontal="right" vertical="center" wrapText="1"/>
    </xf>
    <xf numFmtId="8" fontId="17" fillId="0" borderId="28" xfId="0" applyNumberFormat="1" applyFont="1" applyBorder="1" applyAlignment="1">
      <alignment horizontal="right" vertical="center" wrapText="1"/>
    </xf>
    <xf numFmtId="8" fontId="11" fillId="0" borderId="0" xfId="0" applyNumberFormat="1" applyFont="1" applyBorder="1" applyAlignment="1">
      <alignment vertical="center" wrapText="1"/>
    </xf>
    <xf numFmtId="0" fontId="10" fillId="0" borderId="0" xfId="0" applyFont="1" applyBorder="1"/>
    <xf numFmtId="0" fontId="11" fillId="0" borderId="28" xfId="0" applyFont="1" applyBorder="1" applyAlignment="1">
      <alignment horizontal="right" vertical="center" wrapText="1"/>
    </xf>
    <xf numFmtId="2" fontId="11" fillId="0" borderId="28" xfId="0" applyNumberFormat="1" applyFont="1" applyBorder="1" applyAlignment="1">
      <alignment horizontal="right" vertical="center" wrapText="1"/>
    </xf>
    <xf numFmtId="0" fontId="10" fillId="0" borderId="0" xfId="0" applyFont="1" applyAlignment="1">
      <alignment vertical="center"/>
    </xf>
    <xf numFmtId="0" fontId="8" fillId="0" borderId="28" xfId="0" applyFont="1" applyBorder="1"/>
    <xf numFmtId="0" fontId="8" fillId="0" borderId="0" xfId="0" applyFont="1" applyAlignment="1">
      <alignment horizontal="left" wrapText="1"/>
    </xf>
    <xf numFmtId="0" fontId="11" fillId="0" borderId="32" xfId="0" applyFont="1" applyBorder="1" applyAlignment="1">
      <alignment vertical="center" wrapText="1"/>
    </xf>
    <xf numFmtId="0" fontId="11" fillId="0" borderId="32" xfId="0" applyFont="1" applyBorder="1" applyAlignment="1">
      <alignment horizontal="center" vertical="center" wrapText="1"/>
    </xf>
    <xf numFmtId="0" fontId="11" fillId="0" borderId="32" xfId="0" applyFont="1" applyBorder="1" applyAlignment="1">
      <alignment horizontal="right" vertical="center" wrapText="1"/>
    </xf>
    <xf numFmtId="8" fontId="11" fillId="0" borderId="32" xfId="0" applyNumberFormat="1" applyFont="1" applyBorder="1" applyAlignment="1">
      <alignment horizontal="right" vertical="center" wrapText="1"/>
    </xf>
    <xf numFmtId="0" fontId="11" fillId="0" borderId="33" xfId="0" applyFont="1" applyBorder="1" applyAlignment="1">
      <alignment vertical="center" wrapText="1"/>
    </xf>
    <xf numFmtId="0" fontId="11" fillId="0" borderId="33" xfId="0" applyFont="1" applyBorder="1" applyAlignment="1">
      <alignment horizontal="center" vertical="center" wrapText="1"/>
    </xf>
    <xf numFmtId="0" fontId="11" fillId="0" borderId="33" xfId="0" applyFont="1" applyBorder="1" applyAlignment="1">
      <alignment horizontal="right" vertical="center" wrapText="1"/>
    </xf>
    <xf numFmtId="8" fontId="11" fillId="0" borderId="33" xfId="0" applyNumberFormat="1" applyFont="1" applyBorder="1" applyAlignment="1">
      <alignment horizontal="right" vertical="center" wrapText="1"/>
    </xf>
    <xf numFmtId="8" fontId="10" fillId="0" borderId="0" xfId="0" applyNumberFormat="1" applyFont="1" applyBorder="1" applyAlignment="1">
      <alignment horizontal="center"/>
    </xf>
    <xf numFmtId="0" fontId="10" fillId="0" borderId="0" xfId="0" applyFont="1" applyBorder="1" applyAlignment="1">
      <alignment horizontal="center"/>
    </xf>
    <xf numFmtId="0" fontId="8" fillId="0" borderId="0" xfId="0" applyFont="1" applyAlignment="1">
      <alignment horizontal="left" wrapText="1"/>
    </xf>
    <xf numFmtId="8" fontId="11" fillId="0" borderId="28" xfId="0" applyNumberFormat="1" applyFont="1" applyBorder="1" applyAlignment="1">
      <alignment horizontal="right" vertical="center" wrapText="1"/>
    </xf>
    <xf numFmtId="0" fontId="11" fillId="0" borderId="28" xfId="0" applyFont="1" applyBorder="1" applyAlignment="1">
      <alignment horizontal="left" vertical="center" wrapText="1"/>
    </xf>
    <xf numFmtId="0" fontId="11" fillId="0" borderId="28" xfId="0" applyFont="1" applyBorder="1" applyAlignment="1">
      <alignment horizontal="center" vertical="center" wrapText="1"/>
    </xf>
    <xf numFmtId="0" fontId="11" fillId="0" borderId="28" xfId="0" applyFont="1" applyBorder="1" applyAlignment="1">
      <alignment horizontal="right" vertical="center" wrapText="1"/>
    </xf>
    <xf numFmtId="0" fontId="16" fillId="0" borderId="0" xfId="0" applyFont="1" applyBorder="1" applyAlignment="1">
      <alignment horizontal="center" vertical="center" wrapText="1"/>
    </xf>
    <xf numFmtId="0" fontId="10" fillId="5" borderId="28" xfId="0" applyFont="1" applyFill="1" applyBorder="1" applyAlignment="1">
      <alignment horizontal="center" vertical="center" wrapText="1"/>
    </xf>
    <xf numFmtId="8" fontId="10" fillId="0" borderId="0" xfId="0" applyNumberFormat="1" applyFont="1"/>
    <xf numFmtId="8" fontId="10" fillId="0" borderId="0" xfId="0" applyNumberFormat="1" applyFont="1" applyAlignment="1">
      <alignment horizontal="center" vertical="center"/>
    </xf>
    <xf numFmtId="8" fontId="11" fillId="0" borderId="28" xfId="0" applyNumberFormat="1" applyFont="1" applyBorder="1" applyAlignment="1">
      <alignment horizontal="right" vertical="center" wrapText="1"/>
    </xf>
    <xf numFmtId="0" fontId="11" fillId="0" borderId="28" xfId="0" applyFont="1" applyBorder="1" applyAlignment="1">
      <alignment horizontal="center" vertical="center" wrapText="1"/>
    </xf>
    <xf numFmtId="0" fontId="8" fillId="0" borderId="29" xfId="0" applyFont="1" applyBorder="1"/>
    <xf numFmtId="0" fontId="12" fillId="3" borderId="32" xfId="0" applyFont="1" applyFill="1" applyBorder="1" applyAlignment="1">
      <alignment vertical="center" wrapText="1"/>
    </xf>
    <xf numFmtId="0" fontId="18" fillId="0" borderId="29" xfId="0" applyFont="1" applyBorder="1" applyAlignment="1">
      <alignment horizontal="right" vertical="center"/>
    </xf>
    <xf numFmtId="0" fontId="18" fillId="0" borderId="40" xfId="0" applyFont="1" applyBorder="1" applyAlignment="1">
      <alignment horizontal="left" vertical="center"/>
    </xf>
    <xf numFmtId="0" fontId="8" fillId="0" borderId="30" xfId="0" applyFont="1" applyBorder="1"/>
    <xf numFmtId="0" fontId="11" fillId="0" borderId="33" xfId="0" applyFont="1" applyFill="1" applyBorder="1" applyAlignment="1">
      <alignment horizontal="right" vertical="center" wrapText="1"/>
    </xf>
    <xf numFmtId="8" fontId="11" fillId="0" borderId="33" xfId="0" applyNumberFormat="1" applyFont="1" applyFill="1" applyBorder="1" applyAlignment="1">
      <alignment horizontal="right" vertical="center" wrapText="1"/>
    </xf>
    <xf numFmtId="8" fontId="11" fillId="0" borderId="28" xfId="0" applyNumberFormat="1" applyFont="1" applyFill="1" applyBorder="1" applyAlignment="1">
      <alignment horizontal="right" vertical="center" wrapText="1"/>
    </xf>
    <xf numFmtId="0" fontId="11" fillId="0" borderId="28" xfId="0" applyFont="1" applyFill="1" applyBorder="1" applyAlignment="1">
      <alignment horizontal="right" vertical="center" wrapText="1"/>
    </xf>
    <xf numFmtId="4" fontId="11" fillId="0" borderId="28" xfId="0" applyNumberFormat="1" applyFont="1" applyFill="1" applyBorder="1" applyAlignment="1">
      <alignment horizontal="right" vertical="center" wrapText="1"/>
    </xf>
    <xf numFmtId="2" fontId="11" fillId="0" borderId="28" xfId="0" applyNumberFormat="1" applyFont="1" applyFill="1" applyBorder="1" applyAlignment="1">
      <alignment horizontal="right" vertical="center" wrapText="1"/>
    </xf>
    <xf numFmtId="4" fontId="17" fillId="0" borderId="28" xfId="0" applyNumberFormat="1" applyFont="1" applyFill="1" applyBorder="1" applyAlignment="1">
      <alignment horizontal="right" vertical="center" wrapText="1"/>
    </xf>
    <xf numFmtId="8" fontId="17" fillId="0" borderId="28" xfId="0" applyNumberFormat="1" applyFont="1" applyFill="1" applyBorder="1" applyAlignment="1">
      <alignment horizontal="right" vertical="center" wrapText="1"/>
    </xf>
    <xf numFmtId="0" fontId="11" fillId="0" borderId="28" xfId="0" applyFont="1" applyBorder="1" applyAlignment="1">
      <alignment horizontal="center" vertical="center" wrapText="1"/>
    </xf>
    <xf numFmtId="2" fontId="11" fillId="0" borderId="28" xfId="0" applyNumberFormat="1" applyFont="1" applyBorder="1" applyAlignment="1">
      <alignment horizontal="right" vertical="center" wrapText="1"/>
    </xf>
    <xf numFmtId="8" fontId="11" fillId="0" borderId="28" xfId="0" applyNumberFormat="1" applyFont="1" applyFill="1" applyBorder="1" applyAlignment="1">
      <alignment horizontal="right" vertical="center" wrapText="1"/>
    </xf>
    <xf numFmtId="2" fontId="11" fillId="0" borderId="28" xfId="0" applyNumberFormat="1" applyFont="1" applyFill="1" applyBorder="1" applyAlignment="1">
      <alignment horizontal="right" vertical="center" wrapText="1"/>
    </xf>
    <xf numFmtId="0" fontId="11" fillId="0" borderId="28" xfId="0" applyFont="1" applyBorder="1" applyAlignment="1">
      <alignment horizontal="right" vertical="center" wrapText="1"/>
    </xf>
    <xf numFmtId="0" fontId="11" fillId="0" borderId="28" xfId="0" quotePrefix="1" applyFont="1" applyBorder="1" applyAlignment="1">
      <alignment vertical="center" wrapText="1"/>
    </xf>
    <xf numFmtId="0" fontId="11" fillId="6" borderId="28" xfId="0" applyFont="1" applyFill="1" applyBorder="1" applyAlignment="1">
      <alignment vertical="center" wrapText="1"/>
    </xf>
    <xf numFmtId="0" fontId="11" fillId="0" borderId="28" xfId="0" quotePrefix="1" applyFont="1" applyBorder="1" applyAlignment="1">
      <alignment horizontal="left" vertical="center" wrapText="1"/>
    </xf>
    <xf numFmtId="0" fontId="17" fillId="0" borderId="28" xfId="0" quotePrefix="1" applyFont="1" applyBorder="1" applyAlignment="1">
      <alignment horizontal="left" vertical="center" wrapText="1"/>
    </xf>
    <xf numFmtId="0" fontId="10" fillId="5" borderId="32" xfId="0" applyFont="1" applyFill="1" applyBorder="1" applyAlignment="1">
      <alignment horizontal="center" vertical="center" wrapText="1"/>
    </xf>
    <xf numFmtId="0" fontId="10" fillId="5" borderId="32" xfId="0" applyFont="1" applyFill="1" applyBorder="1" applyAlignment="1">
      <alignment horizontal="center" vertical="center" wrapText="1"/>
    </xf>
    <xf numFmtId="0" fontId="10" fillId="0" borderId="0" xfId="0" applyFont="1" applyAlignment="1">
      <alignment horizontal="center" vertical="center"/>
    </xf>
    <xf numFmtId="0" fontId="0" fillId="0" borderId="0" xfId="0" applyAlignment="1">
      <alignment vertical="center"/>
    </xf>
    <xf numFmtId="0" fontId="10" fillId="0" borderId="0" xfId="0" applyFont="1" applyBorder="1" applyAlignment="1">
      <alignment vertical="center"/>
    </xf>
    <xf numFmtId="0" fontId="0" fillId="0" borderId="0" xfId="0" applyAlignment="1">
      <alignment horizontal="center" vertical="center"/>
    </xf>
    <xf numFmtId="0" fontId="10" fillId="0" borderId="0" xfId="0" applyFont="1" applyBorder="1" applyAlignment="1">
      <alignment horizontal="center" vertical="center"/>
    </xf>
    <xf numFmtId="0" fontId="11" fillId="0" borderId="41" xfId="0" applyFont="1" applyBorder="1" applyAlignment="1">
      <alignment vertical="center" wrapText="1"/>
    </xf>
    <xf numFmtId="0" fontId="11" fillId="0" borderId="41" xfId="0" applyFont="1" applyBorder="1" applyAlignment="1">
      <alignment horizontal="center" vertical="center" wrapText="1"/>
    </xf>
    <xf numFmtId="0" fontId="11" fillId="0" borderId="33" xfId="0" quotePrefix="1" applyFont="1" applyBorder="1" applyAlignment="1">
      <alignment vertical="center" wrapText="1"/>
    </xf>
    <xf numFmtId="0" fontId="10" fillId="0" borderId="0" xfId="0" quotePrefix="1" applyFont="1" applyBorder="1" applyAlignment="1">
      <alignment horizontal="center" vertical="center"/>
    </xf>
    <xf numFmtId="0" fontId="20" fillId="0" borderId="37" xfId="0" applyFont="1" applyBorder="1" applyAlignment="1">
      <alignment vertical="center" wrapText="1"/>
    </xf>
    <xf numFmtId="0" fontId="20" fillId="0" borderId="38" xfId="0" applyFont="1" applyBorder="1" applyAlignment="1">
      <alignment vertical="center" wrapText="1"/>
    </xf>
    <xf numFmtId="0" fontId="20" fillId="0" borderId="38" xfId="0" applyFont="1" applyBorder="1" applyAlignment="1">
      <alignment horizontal="center" vertical="center" wrapText="1"/>
    </xf>
    <xf numFmtId="8" fontId="20" fillId="0" borderId="38" xfId="0" applyNumberFormat="1" applyFont="1" applyBorder="1" applyAlignment="1">
      <alignment horizontal="right" vertical="center" wrapText="1"/>
    </xf>
    <xf numFmtId="0" fontId="21" fillId="0" borderId="0" xfId="0" applyFont="1" applyAlignment="1">
      <alignment vertical="center"/>
    </xf>
    <xf numFmtId="0" fontId="21" fillId="0" borderId="0" xfId="0" applyFont="1" applyAlignment="1">
      <alignment horizontal="center" vertical="center"/>
    </xf>
    <xf numFmtId="0" fontId="10" fillId="0" borderId="35" xfId="0" applyFont="1" applyBorder="1" applyAlignment="1">
      <alignment vertical="center"/>
    </xf>
    <xf numFmtId="0" fontId="10" fillId="0" borderId="36" xfId="0" applyFont="1" applyBorder="1" applyAlignment="1">
      <alignment vertical="center"/>
    </xf>
    <xf numFmtId="0" fontId="10" fillId="0" borderId="38" xfId="0" applyFont="1" applyBorder="1" applyAlignment="1">
      <alignment vertical="center"/>
    </xf>
    <xf numFmtId="0" fontId="10" fillId="0" borderId="39" xfId="0" applyFont="1" applyBorder="1" applyAlignment="1">
      <alignment vertical="center"/>
    </xf>
    <xf numFmtId="2" fontId="11" fillId="0" borderId="33" xfId="0" applyNumberFormat="1" applyFont="1" applyBorder="1" applyAlignment="1">
      <alignment horizontal="right" vertical="center" wrapText="1"/>
    </xf>
    <xf numFmtId="164" fontId="11" fillId="0" borderId="32" xfId="0" applyNumberFormat="1" applyFont="1" applyBorder="1" applyAlignment="1">
      <alignment horizontal="right" vertical="center" wrapText="1"/>
    </xf>
    <xf numFmtId="164" fontId="10" fillId="0" borderId="37" xfId="0" applyNumberFormat="1" applyFont="1" applyBorder="1" applyAlignment="1">
      <alignment vertical="center"/>
    </xf>
    <xf numFmtId="2" fontId="0" fillId="0" borderId="0" xfId="0" applyNumberFormat="1" applyAlignment="1">
      <alignment vertical="center"/>
    </xf>
    <xf numFmtId="164" fontId="0" fillId="0" borderId="0" xfId="0" applyNumberFormat="1" applyAlignment="1">
      <alignment vertical="center"/>
    </xf>
    <xf numFmtId="164" fontId="10" fillId="0" borderId="0" xfId="0" applyNumberFormat="1" applyFont="1" applyAlignment="1">
      <alignment vertical="center"/>
    </xf>
    <xf numFmtId="164" fontId="21" fillId="0" borderId="0" xfId="0" applyNumberFormat="1" applyFont="1" applyAlignment="1">
      <alignment vertical="center"/>
    </xf>
    <xf numFmtId="164" fontId="10" fillId="0" borderId="34" xfId="0" applyNumberFormat="1" applyFont="1" applyBorder="1" applyAlignment="1">
      <alignment vertical="center"/>
    </xf>
    <xf numFmtId="165" fontId="0" fillId="0" borderId="0" xfId="0" applyNumberFormat="1" applyAlignment="1">
      <alignment vertical="center"/>
    </xf>
    <xf numFmtId="165" fontId="10" fillId="0" borderId="0" xfId="0" applyNumberFormat="1" applyFont="1" applyAlignment="1">
      <alignment vertical="center"/>
    </xf>
    <xf numFmtId="165" fontId="21" fillId="0" borderId="0" xfId="0" applyNumberFormat="1" applyFont="1" applyAlignment="1">
      <alignment vertical="center"/>
    </xf>
    <xf numFmtId="165" fontId="10" fillId="0" borderId="38" xfId="0" applyNumberFormat="1" applyFont="1" applyBorder="1" applyAlignment="1">
      <alignment vertical="center"/>
    </xf>
    <xf numFmtId="165" fontId="10" fillId="0" borderId="35" xfId="0" applyNumberFormat="1" applyFont="1" applyBorder="1" applyAlignment="1">
      <alignment vertical="center"/>
    </xf>
    <xf numFmtId="165" fontId="10" fillId="0" borderId="0" xfId="0" applyNumberFormat="1" applyFont="1" applyBorder="1" applyAlignment="1">
      <alignment vertical="center"/>
    </xf>
    <xf numFmtId="164" fontId="10" fillId="0" borderId="0" xfId="0" applyNumberFormat="1" applyFont="1" applyBorder="1" applyAlignment="1">
      <alignment vertical="center"/>
    </xf>
    <xf numFmtId="165" fontId="10" fillId="0" borderId="0" xfId="0" applyNumberFormat="1" applyFont="1" applyBorder="1" applyAlignment="1">
      <alignment horizontal="center" vertical="center"/>
    </xf>
    <xf numFmtId="164" fontId="10" fillId="0" borderId="24" xfId="0" quotePrefix="1" applyNumberFormat="1" applyFont="1" applyBorder="1" applyAlignment="1">
      <alignment horizontal="center" vertical="center"/>
    </xf>
    <xf numFmtId="0" fontId="10" fillId="0" borderId="31" xfId="0" applyFont="1" applyBorder="1" applyAlignment="1">
      <alignment horizontal="center" vertical="center"/>
    </xf>
    <xf numFmtId="164" fontId="10" fillId="0" borderId="24" xfId="0" applyNumberFormat="1" applyFont="1" applyBorder="1" applyAlignment="1">
      <alignment vertical="center"/>
    </xf>
    <xf numFmtId="0" fontId="10" fillId="0" borderId="31" xfId="0" applyFont="1" applyBorder="1" applyAlignment="1">
      <alignment vertical="center"/>
    </xf>
    <xf numFmtId="8" fontId="21" fillId="0" borderId="0" xfId="0" applyNumberFormat="1" applyFont="1" applyAlignment="1">
      <alignment horizontal="center" vertical="center"/>
    </xf>
    <xf numFmtId="164" fontId="10" fillId="0" borderId="37" xfId="0" quotePrefix="1" applyNumberFormat="1" applyFont="1" applyBorder="1" applyAlignment="1">
      <alignment vertical="center"/>
    </xf>
    <xf numFmtId="2" fontId="10" fillId="0" borderId="0" xfId="0" applyNumberFormat="1" applyFont="1" applyAlignment="1">
      <alignment horizontal="center" vertical="center"/>
    </xf>
    <xf numFmtId="4" fontId="10" fillId="0" borderId="0" xfId="0" applyNumberFormat="1" applyFont="1"/>
    <xf numFmtId="10" fontId="10" fillId="0" borderId="0" xfId="0" applyNumberFormat="1" applyFont="1"/>
    <xf numFmtId="0" fontId="22" fillId="0" borderId="0" xfId="0" applyFont="1" applyAlignment="1">
      <alignment vertical="center"/>
    </xf>
    <xf numFmtId="0" fontId="22" fillId="0" borderId="29" xfId="0" applyFont="1" applyBorder="1" applyAlignment="1">
      <alignment vertical="center"/>
    </xf>
    <xf numFmtId="0" fontId="19" fillId="0" borderId="29" xfId="0" applyFont="1" applyBorder="1" applyAlignment="1">
      <alignment horizontal="right" vertical="center"/>
    </xf>
    <xf numFmtId="0" fontId="22" fillId="0" borderId="30" xfId="0" applyFont="1" applyBorder="1" applyAlignment="1">
      <alignment vertical="center"/>
    </xf>
    <xf numFmtId="0" fontId="22" fillId="0" borderId="0" xfId="0" applyFont="1" applyAlignment="1">
      <alignment horizontal="center" vertical="center"/>
    </xf>
    <xf numFmtId="164" fontId="22" fillId="0" borderId="0" xfId="0" applyNumberFormat="1" applyFont="1" applyAlignment="1">
      <alignment vertical="center"/>
    </xf>
    <xf numFmtId="165" fontId="22" fillId="0" borderId="0" xfId="0" applyNumberFormat="1" applyFont="1" applyAlignment="1">
      <alignment vertical="center"/>
    </xf>
    <xf numFmtId="0" fontId="22" fillId="0" borderId="28" xfId="0" applyFont="1" applyBorder="1" applyAlignment="1">
      <alignment vertical="center"/>
    </xf>
    <xf numFmtId="0" fontId="22" fillId="0" borderId="0" xfId="0" applyFont="1" applyAlignment="1">
      <alignment horizontal="center" vertical="center"/>
    </xf>
    <xf numFmtId="0" fontId="23" fillId="0" borderId="0" xfId="0" applyFont="1" applyAlignment="1">
      <alignment vertical="center"/>
    </xf>
    <xf numFmtId="0" fontId="22" fillId="0" borderId="0" xfId="0" applyFont="1" applyAlignment="1">
      <alignment vertical="center" wrapText="1"/>
    </xf>
    <xf numFmtId="2" fontId="10" fillId="5" borderId="32" xfId="0" applyNumberFormat="1" applyFont="1" applyFill="1" applyBorder="1" applyAlignment="1">
      <alignment horizontal="center" vertical="center" wrapText="1"/>
    </xf>
    <xf numFmtId="2" fontId="11" fillId="0" borderId="41" xfId="0" applyNumberFormat="1" applyFont="1" applyBorder="1" applyAlignment="1">
      <alignment horizontal="right" vertical="center" wrapText="1"/>
    </xf>
    <xf numFmtId="2" fontId="20" fillId="0" borderId="38" xfId="0" applyNumberFormat="1" applyFont="1" applyBorder="1" applyAlignment="1">
      <alignment horizontal="right" vertical="center" wrapText="1"/>
    </xf>
    <xf numFmtId="2" fontId="11" fillId="0" borderId="32" xfId="0" applyNumberFormat="1" applyFont="1" applyBorder="1" applyAlignment="1">
      <alignment horizontal="center" vertical="center" wrapText="1"/>
    </xf>
    <xf numFmtId="2" fontId="22" fillId="0" borderId="0" xfId="0" applyNumberFormat="1" applyFont="1" applyAlignment="1">
      <alignment vertical="center"/>
    </xf>
    <xf numFmtId="166" fontId="11" fillId="0" borderId="32" xfId="0" applyNumberFormat="1" applyFont="1" applyBorder="1" applyAlignment="1">
      <alignment horizontal="center" vertical="center" wrapText="1"/>
    </xf>
    <xf numFmtId="166" fontId="11" fillId="0" borderId="33" xfId="0" applyNumberFormat="1" applyFont="1" applyBorder="1" applyAlignment="1">
      <alignment horizontal="right" vertical="center" wrapText="1"/>
    </xf>
    <xf numFmtId="1" fontId="19" fillId="0" borderId="40" xfId="0" applyNumberFormat="1" applyFont="1" applyBorder="1" applyAlignment="1">
      <alignment horizontal="left" vertical="center"/>
    </xf>
    <xf numFmtId="0" fontId="11" fillId="0" borderId="32"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33" xfId="0" applyFont="1" applyBorder="1" applyAlignment="1">
      <alignment horizontal="center" vertical="center" wrapText="1"/>
    </xf>
    <xf numFmtId="0" fontId="24" fillId="0" borderId="0" xfId="0" applyFont="1" applyAlignment="1">
      <alignment horizontal="center" vertical="center"/>
    </xf>
    <xf numFmtId="0" fontId="25" fillId="0" borderId="0" xfId="0" applyFont="1" applyAlignment="1">
      <alignment horizontal="center" vertical="center"/>
    </xf>
    <xf numFmtId="0" fontId="24" fillId="0" borderId="0" xfId="0" applyFont="1"/>
    <xf numFmtId="0" fontId="22" fillId="0" borderId="0" xfId="0" applyFont="1" applyAlignment="1">
      <alignment horizontal="center" vertical="center"/>
    </xf>
    <xf numFmtId="0" fontId="11" fillId="0" borderId="32" xfId="0" applyFont="1" applyBorder="1" applyAlignment="1">
      <alignment horizontal="center" vertical="center" wrapText="1"/>
    </xf>
    <xf numFmtId="0" fontId="11" fillId="0" borderId="33" xfId="0" applyFont="1" applyBorder="1" applyAlignment="1">
      <alignment horizontal="center" vertical="center" wrapText="1"/>
    </xf>
    <xf numFmtId="2" fontId="19" fillId="0" borderId="40" xfId="0" applyNumberFormat="1" applyFont="1" applyBorder="1" applyAlignment="1">
      <alignment horizontal="left" vertical="center" wrapText="1"/>
    </xf>
    <xf numFmtId="0" fontId="11" fillId="0" borderId="32" xfId="0" quotePrefix="1" applyFont="1" applyBorder="1" applyAlignment="1">
      <alignment vertical="center" wrapText="1"/>
    </xf>
    <xf numFmtId="0" fontId="11" fillId="0" borderId="32" xfId="0" applyFont="1" applyBorder="1" applyAlignment="1">
      <alignment horizontal="center" vertical="center" wrapText="1"/>
    </xf>
    <xf numFmtId="0" fontId="11" fillId="0" borderId="33" xfId="0" applyFont="1" applyBorder="1" applyAlignment="1">
      <alignment horizontal="center" vertical="center" wrapText="1"/>
    </xf>
    <xf numFmtId="2" fontId="15" fillId="5" borderId="32" xfId="0" applyNumberFormat="1" applyFont="1" applyFill="1" applyBorder="1" applyAlignment="1">
      <alignment horizontal="center" vertical="center" wrapText="1"/>
    </xf>
    <xf numFmtId="2" fontId="17" fillId="0" borderId="41" xfId="0" applyNumberFormat="1" applyFont="1" applyBorder="1" applyAlignment="1">
      <alignment horizontal="right" vertical="center" wrapText="1"/>
    </xf>
    <xf numFmtId="2" fontId="17" fillId="0" borderId="33" xfId="0" applyNumberFormat="1" applyFont="1" applyBorder="1" applyAlignment="1">
      <alignment horizontal="right" vertical="center" wrapText="1"/>
    </xf>
    <xf numFmtId="2" fontId="26" fillId="0" borderId="38" xfId="0" applyNumberFormat="1" applyFont="1" applyBorder="1" applyAlignment="1">
      <alignment horizontal="right" vertical="center" wrapText="1"/>
    </xf>
    <xf numFmtId="166" fontId="17" fillId="0" borderId="32" xfId="0" applyNumberFormat="1" applyFont="1" applyBorder="1" applyAlignment="1">
      <alignment horizontal="center" vertical="center" wrapText="1"/>
    </xf>
    <xf numFmtId="166" fontId="17" fillId="0" borderId="33" xfId="0" applyNumberFormat="1" applyFont="1" applyBorder="1" applyAlignment="1">
      <alignment horizontal="right" vertical="center" wrapText="1"/>
    </xf>
    <xf numFmtId="2" fontId="17" fillId="0" borderId="32" xfId="0" applyNumberFormat="1" applyFont="1" applyBorder="1" applyAlignment="1">
      <alignment horizontal="center" vertical="center" wrapText="1"/>
    </xf>
    <xf numFmtId="1" fontId="27" fillId="0" borderId="40" xfId="0" applyNumberFormat="1" applyFont="1" applyBorder="1" applyAlignment="1">
      <alignment horizontal="left" vertical="center"/>
    </xf>
    <xf numFmtId="2" fontId="27" fillId="0" borderId="40" xfId="0" applyNumberFormat="1" applyFont="1" applyBorder="1" applyAlignment="1">
      <alignment horizontal="left" vertical="center" wrapText="1"/>
    </xf>
    <xf numFmtId="2" fontId="28" fillId="0" borderId="0" xfId="0" applyNumberFormat="1" applyFont="1" applyAlignment="1">
      <alignment vertical="center"/>
    </xf>
    <xf numFmtId="2" fontId="29" fillId="0" borderId="0" xfId="0" applyNumberFormat="1" applyFont="1" applyAlignment="1">
      <alignment vertical="center"/>
    </xf>
    <xf numFmtId="167" fontId="10" fillId="0" borderId="0" xfId="0" applyNumberFormat="1" applyFont="1" applyAlignment="1">
      <alignment vertical="center"/>
    </xf>
    <xf numFmtId="0" fontId="10" fillId="5" borderId="32" xfId="0" applyFont="1" applyFill="1" applyBorder="1" applyAlignment="1">
      <alignment horizontal="center" vertical="center" wrapText="1"/>
    </xf>
    <xf numFmtId="0" fontId="11" fillId="0" borderId="32" xfId="0" applyFont="1" applyBorder="1" applyAlignment="1">
      <alignment horizontal="center" vertical="center" wrapText="1"/>
    </xf>
    <xf numFmtId="0" fontId="11" fillId="0" borderId="33" xfId="0" applyFont="1" applyBorder="1" applyAlignment="1">
      <alignment horizontal="center" vertical="center" wrapText="1"/>
    </xf>
    <xf numFmtId="0" fontId="17" fillId="0" borderId="32" xfId="0" applyFont="1" applyBorder="1" applyAlignment="1">
      <alignment vertical="center" wrapText="1"/>
    </xf>
    <xf numFmtId="0" fontId="17" fillId="0" borderId="32" xfId="0" applyFont="1" applyBorder="1" applyAlignment="1">
      <alignment horizontal="center" vertical="center" wrapText="1"/>
    </xf>
    <xf numFmtId="0" fontId="17" fillId="0" borderId="33" xfId="0" applyFont="1" applyBorder="1" applyAlignment="1">
      <alignment vertical="center" wrapText="1"/>
    </xf>
    <xf numFmtId="0" fontId="17" fillId="0" borderId="33" xfId="0" applyFont="1" applyBorder="1" applyAlignment="1">
      <alignment horizontal="center" vertical="center" wrapText="1"/>
    </xf>
    <xf numFmtId="0" fontId="26" fillId="0" borderId="37" xfId="0" applyFont="1" applyBorder="1" applyAlignment="1">
      <alignment vertical="center" wrapText="1"/>
    </xf>
    <xf numFmtId="0" fontId="26" fillId="0" borderId="38" xfId="0" applyFont="1" applyBorder="1" applyAlignment="1">
      <alignment vertical="center" wrapText="1"/>
    </xf>
    <xf numFmtId="0" fontId="26" fillId="0" borderId="38" xfId="0" applyFont="1" applyBorder="1" applyAlignment="1">
      <alignment horizontal="center" vertical="center" wrapText="1"/>
    </xf>
    <xf numFmtId="8" fontId="26" fillId="0" borderId="38" xfId="0" applyNumberFormat="1" applyFont="1" applyBorder="1" applyAlignment="1">
      <alignment horizontal="right" vertical="center" wrapText="1"/>
    </xf>
    <xf numFmtId="0" fontId="11" fillId="0" borderId="29" xfId="0" applyFont="1" applyBorder="1" applyAlignment="1">
      <alignment horizontal="right" vertical="center"/>
    </xf>
    <xf numFmtId="0" fontId="10" fillId="0" borderId="30" xfId="0" applyFont="1" applyBorder="1" applyAlignment="1">
      <alignment vertical="center"/>
    </xf>
    <xf numFmtId="2" fontId="26" fillId="0" borderId="38" xfId="0" applyNumberFormat="1" applyFont="1" applyBorder="1" applyAlignment="1">
      <alignment horizontal="center" vertical="center" wrapText="1"/>
    </xf>
    <xf numFmtId="2" fontId="17" fillId="0" borderId="33" xfId="0" applyNumberFormat="1" applyFont="1" applyBorder="1" applyAlignment="1">
      <alignment horizontal="center" vertical="center" wrapText="1"/>
    </xf>
    <xf numFmtId="1" fontId="17" fillId="0" borderId="40" xfId="0" applyNumberFormat="1" applyFont="1" applyBorder="1" applyAlignment="1">
      <alignment horizontal="center" vertical="center"/>
    </xf>
    <xf numFmtId="2" fontId="15" fillId="0" borderId="0" xfId="0" applyNumberFormat="1" applyFont="1" applyAlignment="1">
      <alignment horizontal="center" vertical="center"/>
    </xf>
    <xf numFmtId="2" fontId="29" fillId="0" borderId="0" xfId="0" applyNumberFormat="1" applyFont="1" applyAlignment="1">
      <alignment horizontal="center" vertical="center"/>
    </xf>
    <xf numFmtId="2" fontId="17" fillId="0" borderId="28" xfId="0" applyNumberFormat="1" applyFont="1" applyBorder="1" applyAlignment="1">
      <alignment horizontal="center" vertical="center" wrapText="1"/>
    </xf>
    <xf numFmtId="0" fontId="11" fillId="0" borderId="28" xfId="0" applyFont="1" applyBorder="1" applyAlignment="1">
      <alignment horizontal="center" vertical="center" wrapText="1"/>
    </xf>
    <xf numFmtId="0" fontId="10" fillId="0" borderId="0" xfId="0" quotePrefix="1" applyFont="1" applyAlignment="1">
      <alignment horizontal="left" vertical="center" wrapText="1"/>
    </xf>
    <xf numFmtId="0" fontId="10" fillId="0" borderId="0" xfId="0" applyFont="1" applyAlignment="1">
      <alignment horizontal="left" vertical="center" wrapText="1"/>
    </xf>
    <xf numFmtId="0" fontId="0" fillId="0" borderId="42" xfId="0" applyBorder="1"/>
    <xf numFmtId="0" fontId="0" fillId="0" borderId="42" xfId="0" applyBorder="1" applyAlignment="1">
      <alignment horizontal="center"/>
    </xf>
    <xf numFmtId="0" fontId="21" fillId="5" borderId="29" xfId="0" applyFont="1" applyFill="1" applyBorder="1" applyAlignment="1">
      <alignment vertical="center" wrapText="1"/>
    </xf>
    <xf numFmtId="0" fontId="21" fillId="5" borderId="40" xfId="0" applyFont="1" applyFill="1" applyBorder="1" applyAlignment="1">
      <alignment vertical="center" wrapText="1"/>
    </xf>
    <xf numFmtId="0" fontId="21" fillId="5" borderId="30" xfId="0" applyFont="1" applyFill="1" applyBorder="1" applyAlignment="1">
      <alignment vertical="center" wrapText="1"/>
    </xf>
    <xf numFmtId="4" fontId="11" fillId="0" borderId="32" xfId="0" applyNumberFormat="1" applyFont="1" applyBorder="1" applyAlignment="1">
      <alignment horizontal="right" vertical="center" wrapText="1"/>
    </xf>
    <xf numFmtId="4" fontId="11" fillId="0" borderId="33" xfId="0" applyNumberFormat="1" applyFont="1" applyBorder="1" applyAlignment="1">
      <alignment horizontal="right" vertical="center" wrapText="1"/>
    </xf>
    <xf numFmtId="4" fontId="17" fillId="0" borderId="32" xfId="0" applyNumberFormat="1" applyFont="1" applyBorder="1" applyAlignment="1">
      <alignment horizontal="right" vertical="center" wrapText="1"/>
    </xf>
    <xf numFmtId="4" fontId="17" fillId="0" borderId="33" xfId="0" applyNumberFormat="1" applyFont="1" applyBorder="1" applyAlignment="1">
      <alignment horizontal="right" vertical="center" wrapText="1"/>
    </xf>
    <xf numFmtId="4" fontId="10" fillId="0" borderId="0" xfId="0" applyNumberFormat="1" applyFont="1" applyAlignment="1">
      <alignment vertical="center"/>
    </xf>
    <xf numFmtId="0" fontId="30" fillId="0" borderId="0"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28" xfId="0" applyFont="1" applyBorder="1" applyAlignment="1">
      <alignment horizontal="center" vertical="center" wrapText="1"/>
    </xf>
    <xf numFmtId="0" fontId="30" fillId="0" borderId="0" xfId="0" applyFont="1" applyBorder="1" applyAlignment="1">
      <alignment horizontal="center" vertical="center" wrapText="1"/>
    </xf>
    <xf numFmtId="2" fontId="17" fillId="0" borderId="41" xfId="0" applyNumberFormat="1" applyFont="1" applyBorder="1" applyAlignment="1">
      <alignment horizontal="center" vertical="center" wrapText="1"/>
    </xf>
    <xf numFmtId="4" fontId="11" fillId="0" borderId="41" xfId="0" applyNumberFormat="1" applyFont="1" applyBorder="1" applyAlignment="1">
      <alignment horizontal="right" vertical="center" wrapText="1"/>
    </xf>
    <xf numFmtId="0" fontId="21" fillId="5" borderId="28" xfId="0" applyFont="1" applyFill="1" applyBorder="1" applyAlignment="1">
      <alignment horizontal="center" vertical="center" wrapText="1"/>
    </xf>
    <xf numFmtId="2" fontId="31" fillId="5" borderId="28" xfId="0" applyNumberFormat="1" applyFont="1" applyFill="1" applyBorder="1" applyAlignment="1">
      <alignment horizontal="center" vertical="center" wrapText="1"/>
    </xf>
    <xf numFmtId="0" fontId="11" fillId="0" borderId="33" xfId="0" applyFont="1" applyBorder="1" applyAlignment="1">
      <alignment horizontal="center" vertical="center" wrapText="1"/>
    </xf>
    <xf numFmtId="0" fontId="11" fillId="0" borderId="28" xfId="0" applyFont="1" applyBorder="1" applyAlignment="1">
      <alignment horizontal="center" vertical="center" wrapText="1"/>
    </xf>
    <xf numFmtId="2" fontId="17" fillId="0" borderId="33" xfId="0" applyNumberFormat="1" applyFont="1" applyBorder="1" applyAlignment="1">
      <alignment horizontal="center" vertical="center" wrapText="1"/>
    </xf>
    <xf numFmtId="0" fontId="13" fillId="3" borderId="29"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1" fillId="0" borderId="32"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33" xfId="0" applyFont="1" applyBorder="1" applyAlignment="1">
      <alignment horizontal="center" vertical="center" wrapText="1"/>
    </xf>
    <xf numFmtId="0" fontId="23" fillId="0" borderId="28" xfId="0" applyFont="1" applyBorder="1" applyAlignment="1">
      <alignment horizontal="center" vertical="center"/>
    </xf>
    <xf numFmtId="8" fontId="15" fillId="3" borderId="40" xfId="0" applyNumberFormat="1" applyFont="1" applyFill="1" applyBorder="1" applyAlignment="1">
      <alignment horizontal="right" vertical="center" wrapText="1"/>
    </xf>
    <xf numFmtId="8" fontId="15" fillId="3" borderId="30" xfId="0" applyNumberFormat="1" applyFont="1" applyFill="1" applyBorder="1" applyAlignment="1">
      <alignment horizontal="right" vertical="center" wrapText="1"/>
    </xf>
    <xf numFmtId="8" fontId="20" fillId="0" borderId="37" xfId="0" applyNumberFormat="1" applyFont="1" applyBorder="1" applyAlignment="1">
      <alignment horizontal="right" vertical="center" wrapText="1"/>
    </xf>
    <xf numFmtId="8" fontId="20" fillId="0" borderId="39" xfId="0" applyNumberFormat="1" applyFont="1" applyBorder="1" applyAlignment="1">
      <alignment horizontal="right" vertical="center" wrapText="1"/>
    </xf>
    <xf numFmtId="8" fontId="11" fillId="0" borderId="34" xfId="0" applyNumberFormat="1" applyFont="1" applyBorder="1" applyAlignment="1">
      <alignment horizontal="right" vertical="center" wrapText="1"/>
    </xf>
    <xf numFmtId="8" fontId="11" fillId="0" borderId="36" xfId="0" applyNumberFormat="1" applyFont="1" applyBorder="1" applyAlignment="1">
      <alignment horizontal="right" vertical="center" wrapText="1"/>
    </xf>
    <xf numFmtId="8" fontId="11" fillId="0" borderId="37" xfId="0" applyNumberFormat="1" applyFont="1" applyBorder="1" applyAlignment="1">
      <alignment horizontal="right" vertical="center" wrapText="1"/>
    </xf>
    <xf numFmtId="8" fontId="11" fillId="0" borderId="39" xfId="0" applyNumberFormat="1" applyFont="1" applyBorder="1" applyAlignment="1">
      <alignment horizontal="right" vertical="center" wrapText="1"/>
    </xf>
    <xf numFmtId="0" fontId="0" fillId="0" borderId="38" xfId="0" applyBorder="1" applyAlignment="1">
      <alignment horizontal="center" vertical="center" wrapText="1"/>
    </xf>
    <xf numFmtId="0" fontId="10" fillId="5" borderId="32" xfId="0" applyFont="1" applyFill="1" applyBorder="1" applyAlignment="1">
      <alignment horizontal="center" vertical="center" wrapText="1"/>
    </xf>
    <xf numFmtId="8" fontId="23" fillId="0" borderId="28" xfId="0" applyNumberFormat="1" applyFont="1" applyBorder="1" applyAlignment="1">
      <alignment horizontal="center" vertical="center"/>
    </xf>
    <xf numFmtId="0" fontId="22" fillId="0" borderId="28" xfId="0" applyFont="1" applyBorder="1" applyAlignment="1">
      <alignment horizontal="center" vertical="center"/>
    </xf>
    <xf numFmtId="8" fontId="22" fillId="0" borderId="28" xfId="0" applyNumberFormat="1" applyFont="1" applyBorder="1" applyAlignment="1">
      <alignment horizontal="center" vertical="center"/>
    </xf>
    <xf numFmtId="0" fontId="22" fillId="0" borderId="0" xfId="0" applyFont="1" applyAlignment="1">
      <alignment horizontal="left" vertical="center" wrapText="1"/>
    </xf>
    <xf numFmtId="0" fontId="22" fillId="0" borderId="35" xfId="0" applyFont="1" applyBorder="1" applyAlignment="1">
      <alignment horizontal="center" vertical="center"/>
    </xf>
    <xf numFmtId="8" fontId="11" fillId="0" borderId="24" xfId="0" applyNumberFormat="1" applyFont="1" applyBorder="1" applyAlignment="1">
      <alignment horizontal="right" vertical="center" wrapText="1"/>
    </xf>
    <xf numFmtId="8" fontId="11" fillId="0" borderId="31" xfId="0" applyNumberFormat="1" applyFont="1" applyBorder="1" applyAlignment="1">
      <alignment horizontal="right" vertical="center" wrapText="1"/>
    </xf>
    <xf numFmtId="0" fontId="8" fillId="0" borderId="0" xfId="0" applyFont="1" applyAlignment="1">
      <alignment horizontal="left" vertical="top" wrapText="1"/>
    </xf>
    <xf numFmtId="8" fontId="8" fillId="0" borderId="28" xfId="0" applyNumberFormat="1" applyFont="1" applyBorder="1" applyAlignment="1">
      <alignment horizontal="center"/>
    </xf>
    <xf numFmtId="0" fontId="8" fillId="0" borderId="28" xfId="0" applyFont="1" applyBorder="1" applyAlignment="1">
      <alignment horizontal="center"/>
    </xf>
    <xf numFmtId="0" fontId="9" fillId="0" borderId="28" xfId="0" applyFont="1" applyBorder="1" applyAlignment="1">
      <alignment horizontal="center"/>
    </xf>
    <xf numFmtId="8" fontId="9" fillId="0" borderId="28" xfId="0" applyNumberFormat="1" applyFont="1" applyBorder="1" applyAlignment="1">
      <alignment horizontal="center"/>
    </xf>
    <xf numFmtId="0" fontId="10" fillId="0" borderId="0" xfId="0" applyFont="1" applyAlignment="1">
      <alignment horizontal="center"/>
    </xf>
    <xf numFmtId="8" fontId="11" fillId="0" borderId="29" xfId="0" applyNumberFormat="1" applyFont="1" applyBorder="1" applyAlignment="1">
      <alignment vertical="center" wrapText="1"/>
    </xf>
    <xf numFmtId="8" fontId="11" fillId="0" borderId="30" xfId="0" applyNumberFormat="1" applyFont="1" applyBorder="1" applyAlignment="1">
      <alignment vertical="center" wrapText="1"/>
    </xf>
    <xf numFmtId="8" fontId="11" fillId="0" borderId="33" xfId="0" applyNumberFormat="1" applyFont="1" applyBorder="1" applyAlignment="1">
      <alignment vertical="center" wrapText="1"/>
    </xf>
    <xf numFmtId="8" fontId="11" fillId="0" borderId="28" xfId="0" applyNumberFormat="1" applyFont="1" applyBorder="1" applyAlignment="1">
      <alignment vertical="center" wrapText="1"/>
    </xf>
    <xf numFmtId="8" fontId="11" fillId="2" borderId="28" xfId="0" applyNumberFormat="1" applyFont="1" applyFill="1" applyBorder="1" applyAlignment="1">
      <alignment horizontal="right" vertical="center" wrapText="1"/>
    </xf>
    <xf numFmtId="8" fontId="15" fillId="3" borderId="28" xfId="0" applyNumberFormat="1" applyFont="1" applyFill="1" applyBorder="1" applyAlignment="1">
      <alignment horizontal="right" vertical="center" wrapText="1"/>
    </xf>
    <xf numFmtId="0" fontId="11" fillId="0" borderId="37" xfId="0" applyFont="1" applyBorder="1" applyAlignment="1">
      <alignment horizontal="left" vertical="top" wrapText="1"/>
    </xf>
    <xf numFmtId="0" fontId="11" fillId="0" borderId="38" xfId="0" applyFont="1" applyBorder="1" applyAlignment="1">
      <alignment horizontal="left" vertical="top" wrapText="1"/>
    </xf>
    <xf numFmtId="0" fontId="11" fillId="0" borderId="39" xfId="0" applyFont="1" applyBorder="1" applyAlignment="1">
      <alignment horizontal="left" vertical="top" wrapText="1"/>
    </xf>
    <xf numFmtId="8" fontId="14" fillId="3" borderId="28" xfId="0" applyNumberFormat="1" applyFont="1" applyFill="1" applyBorder="1" applyAlignment="1">
      <alignment horizontal="right" vertical="center" wrapText="1"/>
    </xf>
    <xf numFmtId="8" fontId="11" fillId="0" borderId="32" xfId="0" applyNumberFormat="1" applyFont="1" applyBorder="1" applyAlignment="1">
      <alignment vertical="center" wrapText="1"/>
    </xf>
    <xf numFmtId="0" fontId="11" fillId="0" borderId="34" xfId="0" applyFont="1" applyBorder="1" applyAlignment="1">
      <alignment horizontal="left" vertical="top" wrapText="1"/>
    </xf>
    <xf numFmtId="0" fontId="11" fillId="0" borderId="35" xfId="0" applyFont="1" applyBorder="1" applyAlignment="1">
      <alignment horizontal="left" vertical="top" wrapText="1"/>
    </xf>
    <xf numFmtId="0" fontId="11" fillId="0" borderId="36" xfId="0" applyFont="1" applyBorder="1" applyAlignment="1">
      <alignment horizontal="left" vertical="top" wrapText="1"/>
    </xf>
    <xf numFmtId="0" fontId="11" fillId="0" borderId="24" xfId="0" applyFont="1" applyBorder="1" applyAlignment="1">
      <alignment horizontal="left" vertical="top" wrapText="1"/>
    </xf>
    <xf numFmtId="0" fontId="11" fillId="0" borderId="0" xfId="0" applyFont="1" applyBorder="1" applyAlignment="1">
      <alignment horizontal="left" vertical="top" wrapText="1"/>
    </xf>
    <xf numFmtId="0" fontId="11" fillId="0" borderId="31" xfId="0" applyFont="1" applyBorder="1" applyAlignment="1">
      <alignment horizontal="left" vertical="top" wrapText="1"/>
    </xf>
    <xf numFmtId="8" fontId="11" fillId="0" borderId="28" xfId="0" applyNumberFormat="1" applyFont="1" applyBorder="1" applyAlignment="1">
      <alignment horizontal="right" vertical="center" wrapText="1"/>
    </xf>
    <xf numFmtId="8" fontId="10" fillId="0" borderId="15" xfId="0" applyNumberFormat="1" applyFont="1" applyBorder="1" applyAlignment="1">
      <alignment horizontal="center"/>
    </xf>
    <xf numFmtId="0" fontId="10" fillId="0" borderId="2" xfId="0" applyFont="1" applyBorder="1" applyAlignment="1">
      <alignment horizontal="center"/>
    </xf>
    <xf numFmtId="8" fontId="17" fillId="0" borderId="28" xfId="0" applyNumberFormat="1" applyFont="1" applyBorder="1" applyAlignment="1">
      <alignment horizontal="right" vertical="center" wrapText="1"/>
    </xf>
    <xf numFmtId="0" fontId="11" fillId="0" borderId="28" xfId="0" quotePrefix="1" applyFont="1" applyBorder="1" applyAlignment="1">
      <alignment horizontal="left" vertical="center" wrapText="1"/>
    </xf>
    <xf numFmtId="0" fontId="11" fillId="0" borderId="28" xfId="0" applyFont="1" applyBorder="1" applyAlignment="1">
      <alignment horizontal="left" vertical="center" wrapText="1"/>
    </xf>
    <xf numFmtId="0" fontId="11" fillId="0" borderId="28" xfId="0" applyFont="1" applyBorder="1" applyAlignment="1">
      <alignment horizontal="center" vertical="center" wrapText="1"/>
    </xf>
    <xf numFmtId="2" fontId="11" fillId="0" borderId="28" xfId="0" applyNumberFormat="1" applyFont="1" applyFill="1" applyBorder="1" applyAlignment="1">
      <alignment horizontal="right" vertical="center" wrapText="1"/>
    </xf>
    <xf numFmtId="8" fontId="11" fillId="0" borderId="28" xfId="0" applyNumberFormat="1" applyFont="1" applyFill="1" applyBorder="1" applyAlignment="1">
      <alignment horizontal="right" vertical="center" wrapText="1"/>
    </xf>
    <xf numFmtId="8" fontId="11" fillId="0" borderId="29" xfId="0" applyNumberFormat="1" applyFont="1" applyBorder="1" applyAlignment="1">
      <alignment horizontal="right" vertical="center" wrapText="1"/>
    </xf>
    <xf numFmtId="8" fontId="11" fillId="0" borderId="30" xfId="0" applyNumberFormat="1" applyFont="1" applyBorder="1" applyAlignment="1">
      <alignment horizontal="right" vertical="center" wrapText="1"/>
    </xf>
    <xf numFmtId="0" fontId="16" fillId="0" borderId="0" xfId="0" applyFont="1" applyBorder="1" applyAlignment="1">
      <alignment horizontal="center" vertical="center" wrapText="1"/>
    </xf>
    <xf numFmtId="0" fontId="0" fillId="0" borderId="0" xfId="0" applyBorder="1" applyAlignment="1">
      <alignment horizontal="center"/>
    </xf>
    <xf numFmtId="0" fontId="10" fillId="5" borderId="28" xfId="0" applyFont="1" applyFill="1" applyBorder="1" applyAlignment="1">
      <alignment horizontal="center" vertical="center" wrapText="1"/>
    </xf>
    <xf numFmtId="2" fontId="11" fillId="0" borderId="28" xfId="0" applyNumberFormat="1" applyFont="1" applyBorder="1" applyAlignment="1">
      <alignment horizontal="right" vertical="center" wrapText="1"/>
    </xf>
    <xf numFmtId="8" fontId="14" fillId="3" borderId="29" xfId="0" applyNumberFormat="1" applyFont="1" applyFill="1" applyBorder="1" applyAlignment="1">
      <alignment horizontal="right" vertical="center" wrapText="1"/>
    </xf>
    <xf numFmtId="8" fontId="14" fillId="3" borderId="30" xfId="0" applyNumberFormat="1" applyFont="1" applyFill="1" applyBorder="1" applyAlignment="1">
      <alignment horizontal="right" vertical="center" wrapText="1"/>
    </xf>
    <xf numFmtId="8" fontId="8" fillId="0" borderId="30" xfId="0" applyNumberFormat="1" applyFont="1" applyBorder="1" applyAlignment="1">
      <alignment horizontal="center"/>
    </xf>
    <xf numFmtId="0" fontId="11" fillId="0" borderId="28" xfId="0" applyFont="1" applyFill="1" applyBorder="1" applyAlignment="1">
      <alignment horizontal="right" vertical="center" wrapText="1"/>
    </xf>
    <xf numFmtId="0" fontId="22" fillId="0" borderId="0" xfId="0" quotePrefix="1" applyFont="1" applyAlignment="1">
      <alignment horizontal="left" vertical="center" wrapText="1"/>
    </xf>
    <xf numFmtId="0" fontId="10" fillId="0" borderId="29" xfId="0" applyFont="1" applyBorder="1" applyAlignment="1">
      <alignment horizontal="left" vertical="center"/>
    </xf>
    <xf numFmtId="0" fontId="10" fillId="0" borderId="30" xfId="0" applyFont="1" applyBorder="1" applyAlignment="1">
      <alignment horizontal="left" vertical="center"/>
    </xf>
    <xf numFmtId="0" fontId="11" fillId="0" borderId="34" xfId="0" applyFont="1" applyBorder="1" applyAlignment="1">
      <alignment horizontal="left" vertical="center" wrapText="1"/>
    </xf>
    <xf numFmtId="0" fontId="11" fillId="0" borderId="36" xfId="0" applyFont="1" applyBorder="1" applyAlignment="1">
      <alignment horizontal="left" vertical="center" wrapText="1"/>
    </xf>
    <xf numFmtId="0" fontId="11" fillId="0" borderId="29" xfId="0" applyFont="1" applyBorder="1" applyAlignment="1">
      <alignment horizontal="left" vertical="center" wrapText="1"/>
    </xf>
    <xf numFmtId="0" fontId="11" fillId="0" borderId="30" xfId="0" applyFont="1" applyBorder="1" applyAlignment="1">
      <alignment horizontal="left" vertical="center" wrapText="1"/>
    </xf>
    <xf numFmtId="8" fontId="10" fillId="0" borderId="28" xfId="0" applyNumberFormat="1" applyFont="1" applyBorder="1" applyAlignment="1">
      <alignment horizontal="center" vertical="center"/>
    </xf>
    <xf numFmtId="0" fontId="10" fillId="0" borderId="28" xfId="0" applyFont="1" applyBorder="1" applyAlignment="1">
      <alignment horizontal="center" vertical="center"/>
    </xf>
    <xf numFmtId="8" fontId="21" fillId="5" borderId="28" xfId="0" applyNumberFormat="1" applyFont="1" applyFill="1" applyBorder="1" applyAlignment="1">
      <alignment horizontal="center" vertical="center"/>
    </xf>
    <xf numFmtId="0" fontId="21" fillId="5" borderId="28" xfId="0" applyFont="1" applyFill="1" applyBorder="1" applyAlignment="1">
      <alignment horizontal="center" vertical="center"/>
    </xf>
    <xf numFmtId="0" fontId="10" fillId="0" borderId="29" xfId="0" applyFont="1" applyBorder="1" applyAlignment="1">
      <alignment vertical="center"/>
    </xf>
    <xf numFmtId="0" fontId="10" fillId="0" borderId="30" xfId="0" applyFont="1" applyBorder="1" applyAlignment="1">
      <alignment vertical="center"/>
    </xf>
    <xf numFmtId="8" fontId="26" fillId="0" borderId="37" xfId="0" applyNumberFormat="1" applyFont="1" applyBorder="1" applyAlignment="1">
      <alignment horizontal="right" vertical="center" wrapText="1"/>
    </xf>
    <xf numFmtId="8" fontId="26" fillId="0" borderId="39" xfId="0" applyNumberFormat="1" applyFont="1" applyBorder="1" applyAlignment="1">
      <alignment horizontal="right" vertical="center" wrapText="1"/>
    </xf>
    <xf numFmtId="8" fontId="17" fillId="0" borderId="37" xfId="0" applyNumberFormat="1" applyFont="1" applyBorder="1" applyAlignment="1">
      <alignment horizontal="right" vertical="center" wrapText="1"/>
    </xf>
    <xf numFmtId="8" fontId="17" fillId="0" borderId="39" xfId="0" applyNumberFormat="1" applyFont="1" applyBorder="1" applyAlignment="1">
      <alignment horizontal="right" vertical="center" wrapText="1"/>
    </xf>
    <xf numFmtId="8" fontId="21" fillId="0" borderId="28" xfId="0" applyNumberFormat="1" applyFont="1" applyBorder="1" applyAlignment="1">
      <alignment horizontal="center" vertical="center"/>
    </xf>
    <xf numFmtId="0" fontId="21" fillId="0" borderId="28" xfId="0" applyFont="1" applyBorder="1" applyAlignment="1">
      <alignment horizontal="center" vertical="center"/>
    </xf>
    <xf numFmtId="0" fontId="21" fillId="0" borderId="29" xfId="0" applyFont="1" applyBorder="1" applyAlignment="1">
      <alignment horizontal="center" vertical="center"/>
    </xf>
    <xf numFmtId="0" fontId="21" fillId="0" borderId="40" xfId="0" applyFont="1" applyBorder="1" applyAlignment="1">
      <alignment horizontal="center" vertical="center"/>
    </xf>
    <xf numFmtId="0" fontId="21" fillId="0" borderId="30" xfId="0" applyFont="1" applyBorder="1" applyAlignment="1">
      <alignment horizontal="center" vertical="center"/>
    </xf>
    <xf numFmtId="8" fontId="17" fillId="0" borderId="34" xfId="0" applyNumberFormat="1" applyFont="1" applyBorder="1" applyAlignment="1">
      <alignment horizontal="right" vertical="center" wrapText="1"/>
    </xf>
    <xf numFmtId="8" fontId="17" fillId="0" borderId="36" xfId="0" applyNumberFormat="1" applyFont="1" applyBorder="1" applyAlignment="1">
      <alignment horizontal="right" vertical="center" wrapText="1"/>
    </xf>
    <xf numFmtId="0" fontId="17" fillId="0" borderId="34" xfId="0" applyFont="1" applyBorder="1" applyAlignment="1">
      <alignment horizontal="left" vertical="center" wrapText="1"/>
    </xf>
    <xf numFmtId="0" fontId="17" fillId="0" borderId="36" xfId="0" applyFont="1" applyBorder="1" applyAlignment="1">
      <alignment horizontal="left" vertical="center" wrapText="1"/>
    </xf>
    <xf numFmtId="0" fontId="17" fillId="0" borderId="37" xfId="0" quotePrefix="1" applyFont="1" applyBorder="1" applyAlignment="1">
      <alignment horizontal="left" vertical="center" wrapText="1"/>
    </xf>
    <xf numFmtId="0" fontId="17" fillId="0" borderId="39" xfId="0" quotePrefix="1" applyFont="1" applyBorder="1" applyAlignment="1">
      <alignment horizontal="left" vertical="center" wrapText="1"/>
    </xf>
    <xf numFmtId="0" fontId="21" fillId="5" borderId="28" xfId="0" applyFont="1" applyFill="1" applyBorder="1" applyAlignment="1">
      <alignment horizontal="center" vertical="center" wrapText="1"/>
    </xf>
    <xf numFmtId="0" fontId="20" fillId="0" borderId="37" xfId="0" applyNumberFormat="1" applyFont="1" applyBorder="1" applyAlignment="1">
      <alignment horizontal="right" vertical="center" wrapText="1"/>
    </xf>
    <xf numFmtId="0" fontId="20" fillId="0" borderId="39" xfId="0" applyNumberFormat="1" applyFont="1" applyBorder="1" applyAlignment="1">
      <alignment horizontal="right" vertical="center" wrapText="1"/>
    </xf>
    <xf numFmtId="0" fontId="11" fillId="0" borderId="29" xfId="0" quotePrefix="1" applyFont="1" applyBorder="1" applyAlignment="1">
      <alignment horizontal="left" vertical="center" wrapText="1"/>
    </xf>
    <xf numFmtId="0" fontId="11" fillId="0" borderId="30" xfId="0" quotePrefix="1" applyFont="1" applyBorder="1" applyAlignment="1">
      <alignment horizontal="left" vertical="center" wrapText="1"/>
    </xf>
    <xf numFmtId="0" fontId="11" fillId="0" borderId="37" xfId="0" quotePrefix="1" applyFont="1" applyBorder="1" applyAlignment="1">
      <alignment horizontal="left" vertical="center" wrapText="1"/>
    </xf>
    <xf numFmtId="0" fontId="11" fillId="0" borderId="39" xfId="0" quotePrefix="1" applyFont="1" applyBorder="1" applyAlignment="1">
      <alignment horizontal="left" vertical="center" wrapText="1"/>
    </xf>
    <xf numFmtId="0" fontId="16" fillId="0" borderId="43" xfId="0" applyFont="1" applyBorder="1" applyAlignment="1">
      <alignment horizontal="center" wrapText="1"/>
    </xf>
    <xf numFmtId="8" fontId="21" fillId="5" borderId="40" xfId="0" applyNumberFormat="1" applyFont="1" applyFill="1" applyBorder="1" applyAlignment="1">
      <alignment horizontal="center" vertical="center" wrapText="1"/>
    </xf>
    <xf numFmtId="0" fontId="21" fillId="5" borderId="30" xfId="0" applyFont="1" applyFill="1" applyBorder="1" applyAlignment="1">
      <alignment horizontal="center" vertical="center" wrapText="1"/>
    </xf>
    <xf numFmtId="0" fontId="21" fillId="5" borderId="40" xfId="0" applyFont="1" applyFill="1" applyBorder="1" applyAlignment="1">
      <alignment horizontal="center" vertical="center" wrapText="1"/>
    </xf>
    <xf numFmtId="8" fontId="10" fillId="0" borderId="29" xfId="0" applyNumberFormat="1" applyFont="1" applyBorder="1" applyAlignment="1">
      <alignment horizontal="center" vertical="center"/>
    </xf>
    <xf numFmtId="8" fontId="10" fillId="0" borderId="30" xfId="0" applyNumberFormat="1" applyFont="1" applyBorder="1" applyAlignment="1">
      <alignment horizontal="center" vertical="center"/>
    </xf>
    <xf numFmtId="8" fontId="20" fillId="0" borderId="34" xfId="0" applyNumberFormat="1" applyFont="1" applyBorder="1" applyAlignment="1">
      <alignment horizontal="right" vertical="center" wrapText="1"/>
    </xf>
    <xf numFmtId="8" fontId="20" fillId="0" borderId="36" xfId="0" applyNumberFormat="1" applyFont="1" applyBorder="1" applyAlignment="1">
      <alignment horizontal="right" vertical="center" wrapText="1"/>
    </xf>
    <xf numFmtId="0" fontId="0" fillId="0" borderId="0" xfId="0" applyBorder="1" applyAlignment="1">
      <alignment horizontal="center" wrapText="1"/>
    </xf>
    <xf numFmtId="0" fontId="11" fillId="0" borderId="28" xfId="0" applyFont="1" applyBorder="1" applyAlignment="1">
      <alignment horizontal="right" vertical="center" wrapText="1"/>
    </xf>
    <xf numFmtId="0" fontId="8" fillId="0" borderId="0" xfId="0" applyFont="1" applyAlignment="1">
      <alignment horizontal="left" wrapText="1"/>
    </xf>
    <xf numFmtId="8" fontId="1" fillId="0" borderId="24" xfId="0" applyNumberFormat="1" applyFont="1" applyBorder="1" applyAlignment="1">
      <alignment horizontal="right" vertical="center" wrapText="1"/>
    </xf>
    <xf numFmtId="8" fontId="1" fillId="0" borderId="8" xfId="0" applyNumberFormat="1" applyFont="1" applyBorder="1" applyAlignment="1">
      <alignment horizontal="right" vertical="center" wrapText="1"/>
    </xf>
    <xf numFmtId="0" fontId="0" fillId="0" borderId="22" xfId="0" applyBorder="1" applyAlignment="1">
      <alignment horizontal="center"/>
    </xf>
    <xf numFmtId="0" fontId="0" fillId="0" borderId="15" xfId="0" applyBorder="1" applyAlignment="1">
      <alignment horizontal="center"/>
    </xf>
    <xf numFmtId="0" fontId="0" fillId="0" borderId="2" xfId="0" applyBorder="1" applyAlignment="1">
      <alignment horizontal="center"/>
    </xf>
    <xf numFmtId="8" fontId="1" fillId="0" borderId="17" xfId="0" applyNumberFormat="1" applyFont="1" applyBorder="1" applyAlignment="1">
      <alignment horizontal="right" vertical="center" wrapText="1"/>
    </xf>
    <xf numFmtId="8" fontId="1" fillId="0" borderId="4" xfId="0" applyNumberFormat="1" applyFont="1" applyBorder="1" applyAlignment="1">
      <alignment horizontal="right" vertical="center" wrapText="1"/>
    </xf>
    <xf numFmtId="8" fontId="1" fillId="2" borderId="15" xfId="0" applyNumberFormat="1" applyFont="1" applyFill="1" applyBorder="1" applyAlignment="1">
      <alignment horizontal="right" vertical="center" wrapText="1"/>
    </xf>
    <xf numFmtId="8" fontId="1" fillId="2" borderId="2" xfId="0" applyNumberFormat="1" applyFont="1" applyFill="1" applyBorder="1" applyAlignment="1">
      <alignment horizontal="right" vertical="center" wrapText="1"/>
    </xf>
    <xf numFmtId="8" fontId="6" fillId="3" borderId="16" xfId="0" applyNumberFormat="1" applyFont="1" applyFill="1" applyBorder="1" applyAlignment="1">
      <alignment horizontal="right" vertical="center" wrapText="1"/>
    </xf>
    <xf numFmtId="8" fontId="6" fillId="3" borderId="26" xfId="0" applyNumberFormat="1" applyFont="1" applyFill="1" applyBorder="1" applyAlignment="1">
      <alignment horizontal="right" vertical="center" wrapText="1"/>
    </xf>
    <xf numFmtId="0" fontId="1" fillId="0" borderId="1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0" xfId="0" applyFont="1" applyBorder="1" applyAlignment="1">
      <alignment horizontal="right" vertical="center" wrapText="1"/>
    </xf>
    <xf numFmtId="0" fontId="1" fillId="0" borderId="21" xfId="0" applyFont="1" applyBorder="1" applyAlignment="1">
      <alignment horizontal="right" vertical="center" wrapText="1"/>
    </xf>
    <xf numFmtId="8" fontId="1" fillId="0" borderId="14" xfId="0" applyNumberFormat="1" applyFont="1" applyBorder="1" applyAlignment="1">
      <alignment horizontal="right" vertical="center" wrapText="1"/>
    </xf>
    <xf numFmtId="8" fontId="1" fillId="0" borderId="12" xfId="0" applyNumberFormat="1" applyFont="1" applyBorder="1" applyAlignment="1">
      <alignment horizontal="right" vertical="center" wrapText="1"/>
    </xf>
    <xf numFmtId="8" fontId="1" fillId="0" borderId="13" xfId="0" applyNumberFormat="1" applyFont="1" applyBorder="1" applyAlignment="1">
      <alignment horizontal="right" vertical="center" wrapText="1"/>
    </xf>
    <xf numFmtId="8" fontId="6" fillId="3" borderId="23" xfId="0" applyNumberFormat="1" applyFont="1" applyFill="1" applyBorder="1" applyAlignment="1">
      <alignment horizontal="right" vertical="center" wrapText="1"/>
    </xf>
    <xf numFmtId="8" fontId="6" fillId="3" borderId="10" xfId="0" applyNumberFormat="1" applyFont="1" applyFill="1" applyBorder="1" applyAlignment="1">
      <alignment horizontal="right" vertical="center" wrapText="1"/>
    </xf>
    <xf numFmtId="8" fontId="1" fillId="2" borderId="17" xfId="0" applyNumberFormat="1" applyFont="1" applyFill="1" applyBorder="1" applyAlignment="1">
      <alignment horizontal="right" vertical="center" wrapText="1"/>
    </xf>
    <xf numFmtId="8" fontId="1" fillId="2" borderId="4" xfId="0" applyNumberFormat="1" applyFont="1" applyFill="1" applyBorder="1" applyAlignment="1">
      <alignment horizontal="right" vertical="center" wrapText="1"/>
    </xf>
    <xf numFmtId="8" fontId="6" fillId="3" borderId="15" xfId="0" applyNumberFormat="1" applyFont="1" applyFill="1" applyBorder="1" applyAlignment="1">
      <alignment horizontal="right" vertical="center" wrapText="1"/>
    </xf>
    <xf numFmtId="8" fontId="6" fillId="3" borderId="2" xfId="0" applyNumberFormat="1" applyFont="1" applyFill="1" applyBorder="1" applyAlignment="1">
      <alignment horizontal="right" vertical="center" wrapText="1"/>
    </xf>
    <xf numFmtId="8" fontId="0" fillId="0" borderId="25" xfId="0" applyNumberFormat="1" applyBorder="1" applyAlignment="1">
      <alignment horizontal="center"/>
    </xf>
    <xf numFmtId="0" fontId="0" fillId="0" borderId="14" xfId="0" applyBorder="1" applyAlignment="1">
      <alignment horizontal="center"/>
    </xf>
    <xf numFmtId="0" fontId="0" fillId="0" borderId="27" xfId="0" applyBorder="1" applyAlignment="1">
      <alignment horizontal="center"/>
    </xf>
    <xf numFmtId="8" fontId="0" fillId="0" borderId="15" xfId="0" applyNumberFormat="1" applyBorder="1" applyAlignment="1">
      <alignment horizontal="center"/>
    </xf>
    <xf numFmtId="0" fontId="5" fillId="0" borderId="0" xfId="0" applyFont="1" applyAlignment="1">
      <alignment horizontal="center"/>
    </xf>
    <xf numFmtId="8" fontId="7" fillId="3" borderId="15" xfId="0" applyNumberFormat="1" applyFont="1" applyFill="1" applyBorder="1" applyAlignment="1">
      <alignment horizontal="right" vertical="center" wrapText="1"/>
    </xf>
    <xf numFmtId="8" fontId="7" fillId="3" borderId="2" xfId="0" applyNumberFormat="1" applyFont="1" applyFill="1" applyBorder="1" applyAlignment="1">
      <alignment horizontal="right" vertical="center" wrapText="1"/>
    </xf>
    <xf numFmtId="8" fontId="7" fillId="4" borderId="15" xfId="0" applyNumberFormat="1" applyFont="1" applyFill="1" applyBorder="1" applyAlignment="1">
      <alignment horizontal="right" vertical="center" wrapText="1"/>
    </xf>
    <xf numFmtId="8" fontId="7" fillId="4" borderId="2" xfId="0" applyNumberFormat="1" applyFont="1" applyFill="1" applyBorder="1" applyAlignment="1">
      <alignment horizontal="right" vertical="center" wrapText="1"/>
    </xf>
    <xf numFmtId="0" fontId="11" fillId="0" borderId="37" xfId="0" applyFont="1" applyBorder="1" applyAlignment="1">
      <alignment horizontal="center" vertical="center" wrapText="1"/>
    </xf>
    <xf numFmtId="0" fontId="11" fillId="0" borderId="39" xfId="0" applyFont="1" applyBorder="1" applyAlignment="1">
      <alignment horizontal="center" vertical="center" wrapText="1"/>
    </xf>
    <xf numFmtId="4" fontId="11" fillId="0" borderId="28" xfId="0" applyNumberFormat="1" applyFont="1" applyBorder="1" applyAlignment="1">
      <alignment vertical="center" wrapText="1"/>
    </xf>
    <xf numFmtId="0" fontId="33" fillId="0" borderId="0" xfId="0" applyFont="1" applyAlignment="1">
      <alignment vertical="center"/>
    </xf>
    <xf numFmtId="0" fontId="34" fillId="0" borderId="0" xfId="0" applyFont="1" applyAlignment="1">
      <alignment horizontal="left" vertical="center" wrapText="1"/>
    </xf>
    <xf numFmtId="0" fontId="21" fillId="5" borderId="29" xfId="0" applyFont="1" applyFill="1" applyBorder="1" applyAlignment="1">
      <alignment horizontal="center" vertical="center"/>
    </xf>
    <xf numFmtId="0" fontId="21" fillId="5" borderId="40" xfId="0" applyFont="1" applyFill="1" applyBorder="1" applyAlignment="1">
      <alignment horizontal="center" vertical="center"/>
    </xf>
    <xf numFmtId="0" fontId="21" fillId="5" borderId="30" xfId="0" applyFont="1" applyFill="1" applyBorder="1" applyAlignment="1">
      <alignment horizontal="center" vertical="center"/>
    </xf>
    <xf numFmtId="0" fontId="30" fillId="0" borderId="0" xfId="0" applyFont="1" applyAlignment="1">
      <alignment horizontal="center" wrapText="1"/>
    </xf>
    <xf numFmtId="0" fontId="30" fillId="0" borderId="0" xfId="0" applyFont="1" applyAlignment="1">
      <alignment horizontal="center"/>
    </xf>
    <xf numFmtId="0" fontId="32" fillId="0" borderId="0" xfId="0" applyFont="1" applyBorder="1" applyAlignment="1">
      <alignment horizontal="right" vertical="top"/>
    </xf>
    <xf numFmtId="0" fontId="16" fillId="0" borderId="0" xfId="0" applyFont="1" applyBorder="1" applyAlignment="1">
      <alignment horizontal="center" wrapText="1"/>
    </xf>
    <xf numFmtId="0" fontId="16" fillId="0" borderId="0" xfId="0" applyFont="1" applyBorder="1" applyAlignment="1">
      <alignment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S63"/>
  <sheetViews>
    <sheetView view="pageBreakPreview" zoomScale="110" zoomScaleNormal="130" zoomScaleSheetLayoutView="110" workbookViewId="0">
      <pane ySplit="2" topLeftCell="A3" activePane="bottomLeft" state="frozen"/>
      <selection pane="bottomLeft" activeCell="B21" sqref="B21"/>
    </sheetView>
  </sheetViews>
  <sheetFormatPr defaultColWidth="9.140625" defaultRowHeight="15" x14ac:dyDescent="0.25"/>
  <cols>
    <col min="1" max="1" width="9.140625" style="107"/>
    <col min="2" max="2" width="51.42578125" style="107" customWidth="1"/>
    <col min="3" max="3" width="9.140625" style="107"/>
    <col min="4" max="4" width="9" style="128" customWidth="1"/>
    <col min="5" max="5" width="10.5703125" style="107" hidden="1" customWidth="1"/>
    <col min="6" max="6" width="5" style="107" customWidth="1"/>
    <col min="7" max="7" width="9.140625" style="107"/>
    <col min="8" max="8" width="15.85546875" style="107" customWidth="1"/>
    <col min="9" max="9" width="11.85546875" style="109" customWidth="1"/>
    <col min="10" max="15" width="9.140625" style="109"/>
    <col min="16" max="16" width="13.42578125" style="129" customWidth="1"/>
    <col min="17" max="17" width="9.140625" style="107"/>
    <col min="18" max="18" width="9.140625" style="133"/>
    <col min="19" max="16384" width="9.140625" style="107"/>
  </cols>
  <sheetData>
    <row r="1" spans="1:19" ht="48" customHeight="1" x14ac:dyDescent="0.25">
      <c r="A1" s="253" t="s">
        <v>166</v>
      </c>
      <c r="B1" s="253"/>
      <c r="C1" s="253"/>
      <c r="D1" s="253"/>
      <c r="E1" s="253"/>
      <c r="F1" s="253"/>
      <c r="G1" s="253"/>
    </row>
    <row r="2" spans="1:19" s="58" customFormat="1" ht="27.75" customHeight="1" x14ac:dyDescent="0.25">
      <c r="A2" s="104" t="s">
        <v>162</v>
      </c>
      <c r="B2" s="104" t="s">
        <v>161</v>
      </c>
      <c r="C2" s="104" t="s">
        <v>163</v>
      </c>
      <c r="D2" s="161" t="s">
        <v>164</v>
      </c>
      <c r="E2" s="104" t="s">
        <v>35</v>
      </c>
      <c r="F2" s="254" t="s">
        <v>95</v>
      </c>
      <c r="G2" s="254"/>
      <c r="H2" s="79">
        <f>F59</f>
        <v>2499265.5100000002</v>
      </c>
      <c r="I2" s="106"/>
      <c r="J2" s="106"/>
      <c r="K2" s="106"/>
      <c r="L2" s="106"/>
      <c r="M2" s="106"/>
      <c r="N2" s="106"/>
      <c r="O2" s="106"/>
      <c r="P2" s="130"/>
      <c r="R2" s="134"/>
    </row>
    <row r="3" spans="1:19" s="58" customFormat="1" ht="15" customHeight="1" x14ac:dyDescent="0.25">
      <c r="A3" s="239" t="s">
        <v>165</v>
      </c>
      <c r="B3" s="240"/>
      <c r="C3" s="240"/>
      <c r="D3" s="240"/>
      <c r="E3" s="240"/>
      <c r="F3" s="245"/>
      <c r="G3" s="246"/>
      <c r="H3" s="79"/>
      <c r="I3" s="106"/>
      <c r="J3" s="106"/>
      <c r="K3" s="106"/>
      <c r="L3" s="106"/>
      <c r="M3" s="106"/>
      <c r="N3" s="106"/>
      <c r="O3" s="106"/>
      <c r="P3" s="130"/>
      <c r="R3" s="134"/>
    </row>
    <row r="4" spans="1:19" s="58" customFormat="1" ht="11.25" x14ac:dyDescent="0.25">
      <c r="A4" s="111">
        <v>1</v>
      </c>
      <c r="B4" s="111" t="str">
        <f>'Rybnik Niedobczyce (2,5mln)'!A48</f>
        <v>Dokumentacja projektowa</v>
      </c>
      <c r="C4" s="112" t="str">
        <f>'Rybnik Niedobczyce (2,5mln)'!B49</f>
        <v>kpl</v>
      </c>
      <c r="D4" s="162">
        <f>'Rybnik Niedobczyce (2,5mln)'!C49</f>
        <v>1</v>
      </c>
      <c r="E4" s="126">
        <f>'Rybnik Niedobczyce (2,5mln)'!D49</f>
        <v>65000</v>
      </c>
      <c r="F4" s="260">
        <f>D4*E4+5000</f>
        <v>70000</v>
      </c>
      <c r="G4" s="261"/>
      <c r="I4" s="106"/>
      <c r="J4" s="106"/>
      <c r="K4" s="106"/>
      <c r="L4" s="106"/>
      <c r="M4" s="106"/>
      <c r="N4" s="106"/>
      <c r="O4" s="106"/>
      <c r="P4" s="130"/>
      <c r="R4" s="134"/>
    </row>
    <row r="5" spans="1:19" s="58" customFormat="1" ht="193.5" customHeight="1" x14ac:dyDescent="0.25">
      <c r="A5" s="65"/>
      <c r="B5" s="65" t="str">
        <f>'Rybnik Niedobczyce (2,5mln)'!A49</f>
        <v>Dokumentacja projektowa (projekty  organizacji ruchu, projekt budowlany i zagospodarowania terenu, projekt techniczny wykonawczy, dokumentacja powykonawcza, uzgodnienia, uzyskanie pozwoleń i decyzji administracyjnych).
Wykonanie dokumentacji technicznej przez osoby uprawnione z uzyskaniem niezbędnych uzgodnień,  pozwoleniem na przebudowę;
• integralną częścią dokumentacji technicznej powinien być kosztorys inwestorski i specyfikacje STWiORB;
• projekt przedmiotowego peronu należy przekazać do Zamawiającego celem uzgodnienia;
• projekt zgodny z aktualnymi standardami, instrukcjami i wytycznymi PKP PLK S.A. oraz spełnić wymagania TSI-PRM, aktualnych rozporządzeń, norm i zapisów prawa;
• uzyskanie wszelkich wymaganych Prawem uzgodnień, wyników badań, decyzji administracyjnych w tym decyzji Pozwoelnia na budowę;
• prowadzenie nadzoru autorskiego.</v>
      </c>
      <c r="C5" s="66"/>
      <c r="D5" s="125"/>
      <c r="E5" s="68"/>
      <c r="F5" s="251"/>
      <c r="G5" s="252"/>
      <c r="I5" s="106"/>
      <c r="J5" s="106"/>
      <c r="K5" s="106"/>
      <c r="L5" s="106"/>
      <c r="M5" s="106"/>
      <c r="N5" s="106"/>
      <c r="O5" s="106"/>
      <c r="P5" s="130"/>
      <c r="R5" s="134"/>
    </row>
    <row r="6" spans="1:19" s="119" customFormat="1" ht="11.1" customHeight="1" x14ac:dyDescent="0.25">
      <c r="A6" s="115"/>
      <c r="B6" s="116"/>
      <c r="C6" s="117"/>
      <c r="D6" s="163"/>
      <c r="E6" s="118"/>
      <c r="F6" s="247">
        <f>F4</f>
        <v>70000</v>
      </c>
      <c r="G6" s="248"/>
      <c r="I6" s="120"/>
      <c r="J6" s="120"/>
      <c r="K6" s="120"/>
      <c r="L6" s="120"/>
      <c r="M6" s="120"/>
      <c r="N6" s="120"/>
      <c r="O6" s="120"/>
      <c r="P6" s="131"/>
      <c r="R6" s="135"/>
    </row>
    <row r="7" spans="1:19" s="58" customFormat="1" ht="11.25" x14ac:dyDescent="0.25">
      <c r="A7" s="239" t="s">
        <v>170</v>
      </c>
      <c r="B7" s="240"/>
      <c r="C7" s="240"/>
      <c r="D7" s="240"/>
      <c r="E7" s="240"/>
      <c r="F7" s="245"/>
      <c r="G7" s="246"/>
      <c r="I7" s="106"/>
      <c r="J7" s="106"/>
      <c r="K7" s="106"/>
      <c r="L7" s="106"/>
      <c r="M7" s="106"/>
      <c r="N7" s="106"/>
      <c r="O7" s="106"/>
      <c r="P7" s="130"/>
      <c r="R7" s="134"/>
    </row>
    <row r="8" spans="1:19" s="58" customFormat="1" ht="11.25" x14ac:dyDescent="0.25">
      <c r="A8" s="61">
        <v>1</v>
      </c>
      <c r="B8" s="61" t="s">
        <v>169</v>
      </c>
      <c r="C8" s="62" t="str">
        <f>'Rybnik Niedobczyce (2,5mln)'!B16</f>
        <v>km</v>
      </c>
      <c r="D8" s="166">
        <f>'Rybnik Niedobczyce (2,5mln)'!C16</f>
        <v>0.22500000000000001</v>
      </c>
      <c r="E8" s="126"/>
      <c r="F8" s="249">
        <f>R9-F10-F16-F18</f>
        <v>765080.42007767002</v>
      </c>
      <c r="G8" s="250"/>
      <c r="I8" s="106"/>
      <c r="J8" s="106"/>
      <c r="K8" s="106"/>
      <c r="L8" s="106"/>
      <c r="M8" s="106"/>
      <c r="N8" s="106"/>
      <c r="O8" s="106"/>
      <c r="P8" s="132"/>
      <c r="Q8" s="121"/>
      <c r="R8" s="137"/>
      <c r="S8" s="122"/>
    </row>
    <row r="9" spans="1:19" s="58" customFormat="1" ht="94.5" customHeight="1" x14ac:dyDescent="0.25">
      <c r="A9" s="65"/>
      <c r="B9" s="113" t="s">
        <v>223</v>
      </c>
      <c r="C9" s="66"/>
      <c r="D9" s="125"/>
      <c r="E9" s="68"/>
      <c r="F9" s="251"/>
      <c r="G9" s="252"/>
      <c r="I9" s="106"/>
      <c r="J9" s="106"/>
      <c r="K9" s="106"/>
      <c r="L9" s="106"/>
      <c r="M9" s="106"/>
      <c r="N9" s="106"/>
      <c r="O9" s="106"/>
      <c r="P9" s="141" t="s">
        <v>183</v>
      </c>
      <c r="Q9" s="110"/>
      <c r="R9" s="140">
        <f>'Rybnik Niedobczyce (2,5mln)'!E15+'Rybnik Niedobczyce (2,5mln)'!E16+'Rybnik Niedobczyce (2,5mln)'!E18+'Rybnik Niedobczyce (2,5mln)'!E19</f>
        <v>809080.42007767002</v>
      </c>
      <c r="S9" s="142" t="s">
        <v>179</v>
      </c>
    </row>
    <row r="10" spans="1:19" s="58" customFormat="1" ht="11.25" customHeight="1" x14ac:dyDescent="0.25">
      <c r="A10" s="61">
        <f>A8+1</f>
        <v>2</v>
      </c>
      <c r="B10" s="61" t="str">
        <f>B8</f>
        <v>Przebudowa toru nr 1 w strefie przyperonowej</v>
      </c>
      <c r="C10" s="62" t="str">
        <f>C8</f>
        <v>km</v>
      </c>
      <c r="D10" s="166">
        <f>D8</f>
        <v>0.22500000000000001</v>
      </c>
      <c r="E10" s="126">
        <f>F10/D10</f>
        <v>111111.11111111111</v>
      </c>
      <c r="F10" s="249">
        <v>25000</v>
      </c>
      <c r="G10" s="250"/>
      <c r="I10" s="106"/>
      <c r="J10" s="106"/>
      <c r="K10" s="106"/>
      <c r="L10" s="106"/>
      <c r="M10" s="106"/>
      <c r="N10" s="106"/>
      <c r="O10" s="106"/>
      <c r="P10" s="132"/>
      <c r="Q10" s="121"/>
      <c r="R10" s="137"/>
      <c r="S10" s="122"/>
    </row>
    <row r="11" spans="1:19" s="58" customFormat="1" ht="46.5" customHeight="1" x14ac:dyDescent="0.25">
      <c r="A11" s="65"/>
      <c r="B11" s="113" t="s">
        <v>224</v>
      </c>
      <c r="C11" s="66"/>
      <c r="D11" s="167"/>
      <c r="E11" s="68"/>
      <c r="F11" s="251"/>
      <c r="G11" s="252"/>
      <c r="I11" s="106"/>
      <c r="J11" s="106"/>
      <c r="K11" s="106"/>
      <c r="L11" s="106"/>
      <c r="M11" s="106"/>
      <c r="N11" s="106"/>
      <c r="O11" s="106"/>
      <c r="P11" s="127"/>
      <c r="Q11" s="123"/>
      <c r="R11" s="136"/>
      <c r="S11" s="124"/>
    </row>
    <row r="12" spans="1:19" s="58" customFormat="1" ht="11.25" customHeight="1" x14ac:dyDescent="0.25">
      <c r="A12" s="61">
        <f>A10+1</f>
        <v>3</v>
      </c>
      <c r="B12" s="61" t="str">
        <f>B10</f>
        <v>Przebudowa toru nr 1 w strefie przyperonowej</v>
      </c>
      <c r="C12" s="62" t="str">
        <f>C10</f>
        <v>km</v>
      </c>
      <c r="D12" s="166">
        <f>D10</f>
        <v>0.22500000000000001</v>
      </c>
      <c r="E12" s="126">
        <f>F12/D12</f>
        <v>399915.99999999994</v>
      </c>
      <c r="F12" s="249">
        <f>R12</f>
        <v>89981.099999999991</v>
      </c>
      <c r="G12" s="250"/>
      <c r="I12" s="106"/>
      <c r="J12" s="106"/>
      <c r="K12" s="106"/>
      <c r="L12" s="106"/>
      <c r="M12" s="106"/>
      <c r="N12" s="106"/>
      <c r="O12" s="106"/>
      <c r="P12" s="143">
        <f>'Rybnik Niedobczyce (2,5mln)'!D17</f>
        <v>223.5</v>
      </c>
      <c r="Q12" s="108" t="s">
        <v>181</v>
      </c>
      <c r="R12" s="138">
        <f>'Rybnik Niedobczyce (2,5mln)'!E17</f>
        <v>89981.099999999991</v>
      </c>
      <c r="S12" s="144" t="s">
        <v>179</v>
      </c>
    </row>
    <row r="13" spans="1:19" s="58" customFormat="1" ht="36" customHeight="1" x14ac:dyDescent="0.25">
      <c r="A13" s="65"/>
      <c r="B13" s="113" t="s">
        <v>218</v>
      </c>
      <c r="C13" s="66"/>
      <c r="D13" s="167"/>
      <c r="E13" s="68"/>
      <c r="F13" s="251"/>
      <c r="G13" s="252"/>
      <c r="I13" s="106"/>
      <c r="J13" s="106"/>
      <c r="K13" s="106"/>
      <c r="L13" s="106"/>
      <c r="M13" s="106"/>
      <c r="N13" s="106"/>
      <c r="O13" s="106"/>
      <c r="P13" s="127">
        <f>197464.68/0.415</f>
        <v>475818.50602409639</v>
      </c>
      <c r="Q13" s="123"/>
      <c r="R13" s="136"/>
      <c r="S13" s="124"/>
    </row>
    <row r="14" spans="1:19" s="58" customFormat="1" ht="11.25" customHeight="1" x14ac:dyDescent="0.25">
      <c r="A14" s="61">
        <f>A12+1</f>
        <v>4</v>
      </c>
      <c r="B14" s="61" t="str">
        <f>B12</f>
        <v>Przebudowa toru nr 1 w strefie przyperonowej</v>
      </c>
      <c r="C14" s="62" t="str">
        <f>C8</f>
        <v>km</v>
      </c>
      <c r="D14" s="166">
        <f>D8</f>
        <v>0.22500000000000001</v>
      </c>
      <c r="E14" s="126">
        <f>F14/D14</f>
        <v>90000</v>
      </c>
      <c r="F14" s="249">
        <f>R14</f>
        <v>20250</v>
      </c>
      <c r="G14" s="250"/>
      <c r="I14" s="106"/>
      <c r="J14" s="106"/>
      <c r="K14" s="106"/>
      <c r="L14" s="106"/>
      <c r="M14" s="106"/>
      <c r="N14" s="106"/>
      <c r="O14" s="106"/>
      <c r="P14" s="132"/>
      <c r="Q14" s="121"/>
      <c r="R14" s="137">
        <f>'Rybnik Niedobczyce (2,5mln)'!E20</f>
        <v>20250</v>
      </c>
      <c r="S14" s="122" t="s">
        <v>179</v>
      </c>
    </row>
    <row r="15" spans="1:19" s="58" customFormat="1" ht="21.95" customHeight="1" x14ac:dyDescent="0.25">
      <c r="A15" s="65"/>
      <c r="B15" s="113" t="s">
        <v>217</v>
      </c>
      <c r="C15" s="66"/>
      <c r="D15" s="167"/>
      <c r="E15" s="68"/>
      <c r="F15" s="251"/>
      <c r="G15" s="252"/>
      <c r="I15" s="106"/>
      <c r="J15" s="106"/>
      <c r="K15" s="106"/>
      <c r="L15" s="106"/>
      <c r="M15" s="106"/>
      <c r="N15" s="106"/>
      <c r="O15" s="106"/>
      <c r="P15" s="127"/>
      <c r="Q15" s="123"/>
      <c r="R15" s="136"/>
      <c r="S15" s="124"/>
    </row>
    <row r="16" spans="1:19" s="58" customFormat="1" ht="11.25" customHeight="1" x14ac:dyDescent="0.25">
      <c r="A16" s="61">
        <f>A14+1</f>
        <v>5</v>
      </c>
      <c r="B16" s="61" t="str">
        <f>B14</f>
        <v>Przebudowa toru nr 1 w strefie przyperonowej</v>
      </c>
      <c r="C16" s="62" t="s">
        <v>174</v>
      </c>
      <c r="D16" s="166">
        <v>0.1</v>
      </c>
      <c r="E16" s="126">
        <f>F16/D16</f>
        <v>140000</v>
      </c>
      <c r="F16" s="249">
        <f>R16+5000</f>
        <v>14000</v>
      </c>
      <c r="G16" s="250"/>
      <c r="I16" s="106" t="s">
        <v>171</v>
      </c>
      <c r="J16" s="106">
        <v>100</v>
      </c>
      <c r="K16" s="106" t="s">
        <v>172</v>
      </c>
      <c r="L16" s="106">
        <v>100</v>
      </c>
      <c r="M16" s="106" t="s">
        <v>173</v>
      </c>
      <c r="N16" s="106">
        <f>J16*L16</f>
        <v>10000</v>
      </c>
      <c r="O16" s="106"/>
      <c r="P16" s="132">
        <f>630000/7.3</f>
        <v>86301.369863013708</v>
      </c>
      <c r="Q16" s="121" t="s">
        <v>178</v>
      </c>
      <c r="R16" s="137">
        <f>_xlfn.CEILING.MATH(P16*D16,1000)</f>
        <v>9000</v>
      </c>
      <c r="S16" s="122" t="s">
        <v>179</v>
      </c>
    </row>
    <row r="17" spans="1:19" s="58" customFormat="1" ht="61.5" customHeight="1" x14ac:dyDescent="0.25">
      <c r="A17" s="65"/>
      <c r="B17" s="113" t="s">
        <v>216</v>
      </c>
      <c r="C17" s="66"/>
      <c r="D17" s="125"/>
      <c r="E17" s="68"/>
      <c r="F17" s="251"/>
      <c r="G17" s="252"/>
      <c r="I17" s="106"/>
      <c r="J17" s="106">
        <f>D8</f>
        <v>0.22500000000000001</v>
      </c>
      <c r="K17" s="106" t="s">
        <v>172</v>
      </c>
      <c r="L17" s="106">
        <v>3</v>
      </c>
      <c r="M17" s="106" t="s">
        <v>173</v>
      </c>
      <c r="N17" s="106">
        <f>J17*1000*L17</f>
        <v>675</v>
      </c>
      <c r="O17" s="106">
        <f>ROUNDUP(N17/N16,3)</f>
        <v>6.8000000000000005E-2</v>
      </c>
      <c r="P17" s="127"/>
      <c r="Q17" s="123"/>
      <c r="R17" s="136"/>
      <c r="S17" s="124"/>
    </row>
    <row r="18" spans="1:19" s="58" customFormat="1" ht="11.25" customHeight="1" x14ac:dyDescent="0.25">
      <c r="A18" s="61">
        <f>A16+1</f>
        <v>6</v>
      </c>
      <c r="B18" s="61" t="str">
        <f>B16</f>
        <v>Przebudowa toru nr 1 w strefie przyperonowej</v>
      </c>
      <c r="C18" s="62" t="s">
        <v>20</v>
      </c>
      <c r="D18" s="164">
        <v>1</v>
      </c>
      <c r="E18" s="126">
        <f>F18/D18</f>
        <v>5000</v>
      </c>
      <c r="F18" s="249">
        <f>R18</f>
        <v>5000</v>
      </c>
      <c r="G18" s="250"/>
      <c r="I18" s="106"/>
      <c r="J18" s="106"/>
      <c r="K18" s="106"/>
      <c r="L18" s="106"/>
      <c r="M18" s="106"/>
      <c r="N18" s="106"/>
      <c r="O18" s="106"/>
      <c r="P18" s="132">
        <f>27850/6.629</f>
        <v>4201.2369889877809</v>
      </c>
      <c r="Q18" s="121" t="s">
        <v>180</v>
      </c>
      <c r="R18" s="137">
        <f>_xlfn.CEILING.MATH(P18*D8,1000)+4000</f>
        <v>5000</v>
      </c>
      <c r="S18" s="122" t="s">
        <v>179</v>
      </c>
    </row>
    <row r="19" spans="1:19" s="58" customFormat="1" ht="21.95" customHeight="1" x14ac:dyDescent="0.25">
      <c r="A19" s="65"/>
      <c r="B19" s="113" t="s">
        <v>215</v>
      </c>
      <c r="C19" s="66"/>
      <c r="D19" s="125"/>
      <c r="E19" s="68"/>
      <c r="F19" s="251"/>
      <c r="G19" s="252"/>
      <c r="I19" s="106"/>
      <c r="J19" s="106"/>
      <c r="K19" s="106"/>
      <c r="L19" s="106"/>
      <c r="M19" s="106"/>
      <c r="N19" s="106"/>
      <c r="O19" s="106"/>
      <c r="P19" s="127"/>
      <c r="Q19" s="123"/>
      <c r="R19" s="136"/>
      <c r="S19" s="124"/>
    </row>
    <row r="20" spans="1:19" s="58" customFormat="1" ht="11.25" customHeight="1" x14ac:dyDescent="0.25">
      <c r="A20" s="61">
        <f t="shared" ref="A20" si="0">A18+1</f>
        <v>7</v>
      </c>
      <c r="B20" s="61" t="str">
        <f>B18</f>
        <v>Przebudowa toru nr 1 w strefie przyperonowej</v>
      </c>
      <c r="C20" s="62" t="s">
        <v>20</v>
      </c>
      <c r="D20" s="164">
        <v>1</v>
      </c>
      <c r="E20" s="126">
        <f>F20/D20</f>
        <v>60000</v>
      </c>
      <c r="F20" s="249">
        <f>R20</f>
        <v>60000</v>
      </c>
      <c r="G20" s="250"/>
      <c r="I20" s="106"/>
      <c r="J20" s="106"/>
      <c r="K20" s="106"/>
      <c r="L20" s="106"/>
      <c r="M20" s="106"/>
      <c r="N20" s="106"/>
      <c r="O20" s="106"/>
      <c r="P20" s="132"/>
      <c r="Q20" s="121"/>
      <c r="R20" s="137">
        <f>'Rybnik Niedobczyce (2,5mln)'!E21</f>
        <v>60000</v>
      </c>
      <c r="S20" s="122" t="s">
        <v>179</v>
      </c>
    </row>
    <row r="21" spans="1:19" s="58" customFormat="1" ht="21.95" customHeight="1" x14ac:dyDescent="0.25">
      <c r="A21" s="65"/>
      <c r="B21" s="113" t="s">
        <v>214</v>
      </c>
      <c r="C21" s="66"/>
      <c r="D21" s="125"/>
      <c r="E21" s="68"/>
      <c r="F21" s="251"/>
      <c r="G21" s="252"/>
      <c r="I21" s="106"/>
      <c r="J21" s="106"/>
      <c r="K21" s="106"/>
      <c r="L21" s="106"/>
      <c r="M21" s="106"/>
      <c r="N21" s="106"/>
      <c r="O21" s="106"/>
      <c r="P21" s="127"/>
      <c r="Q21" s="123"/>
      <c r="R21" s="136"/>
      <c r="S21" s="124"/>
    </row>
    <row r="22" spans="1:19" s="119" customFormat="1" ht="11.1" customHeight="1" x14ac:dyDescent="0.25">
      <c r="A22" s="115"/>
      <c r="B22" s="116"/>
      <c r="C22" s="117"/>
      <c r="D22" s="163"/>
      <c r="E22" s="118"/>
      <c r="F22" s="247">
        <f>SUM(F8:G21)</f>
        <v>979311.52007766999</v>
      </c>
      <c r="G22" s="248"/>
      <c r="H22" s="119" t="b">
        <f>F22='Rybnik Niedobczyce (2,5mln)'!E22</f>
        <v>1</v>
      </c>
      <c r="I22" s="145">
        <f>F22-'Rybnik Niedobczyce (2,5mln)'!E22</f>
        <v>0</v>
      </c>
      <c r="J22" s="120"/>
      <c r="K22" s="120"/>
      <c r="L22" s="120"/>
      <c r="M22" s="120"/>
      <c r="N22" s="120"/>
      <c r="O22" s="120"/>
      <c r="P22" s="131"/>
      <c r="R22" s="135"/>
    </row>
    <row r="23" spans="1:19" s="58" customFormat="1" ht="11.25" x14ac:dyDescent="0.25">
      <c r="A23" s="239" t="s">
        <v>182</v>
      </c>
      <c r="B23" s="240"/>
      <c r="C23" s="240"/>
      <c r="D23" s="240"/>
      <c r="E23" s="240"/>
      <c r="F23" s="245"/>
      <c r="G23" s="246"/>
      <c r="I23" s="106"/>
      <c r="J23" s="106"/>
      <c r="K23" s="106"/>
      <c r="L23" s="106"/>
      <c r="M23" s="106"/>
      <c r="N23" s="106"/>
      <c r="O23" s="106"/>
      <c r="P23" s="130"/>
      <c r="R23" s="134"/>
    </row>
    <row r="24" spans="1:19" s="58" customFormat="1" ht="11.25" x14ac:dyDescent="0.25">
      <c r="A24" s="61">
        <v>1</v>
      </c>
      <c r="B24" s="61" t="s">
        <v>184</v>
      </c>
      <c r="C24" s="62" t="s">
        <v>20</v>
      </c>
      <c r="D24" s="164">
        <v>1</v>
      </c>
      <c r="E24" s="126">
        <f>F24/D24</f>
        <v>833703.47074889869</v>
      </c>
      <c r="F24" s="249">
        <f>R24-F34</f>
        <v>833703.47074889869</v>
      </c>
      <c r="G24" s="250"/>
      <c r="I24" s="106"/>
      <c r="J24" s="106"/>
      <c r="K24" s="106"/>
      <c r="L24" s="106"/>
      <c r="M24" s="106"/>
      <c r="N24" s="106"/>
      <c r="O24" s="132">
        <f>150*3</f>
        <v>450</v>
      </c>
      <c r="P24" s="132">
        <f>R24/O24</f>
        <v>2074.8966016642194</v>
      </c>
      <c r="Q24" s="121" t="s">
        <v>185</v>
      </c>
      <c r="R24" s="137">
        <f>'Rybnik Niedobczyce (2,5mln)'!E7+'Rybnik Niedobczyce (2,5mln)'!E27+'Rybnik Niedobczyce (2,5mln)'!E4+'Rybnik Niedobczyce (2,5mln)'!E11+'Rybnik Niedobczyce (2,5mln)'!E12</f>
        <v>933703.47074889869</v>
      </c>
      <c r="S24" s="122" t="s">
        <v>179</v>
      </c>
    </row>
    <row r="25" spans="1:19" s="58" customFormat="1" ht="180.75" customHeight="1" x14ac:dyDescent="0.25">
      <c r="A25" s="65"/>
      <c r="B25" s="113" t="s">
        <v>213</v>
      </c>
      <c r="C25" s="66"/>
      <c r="D25" s="125"/>
      <c r="E25" s="68"/>
      <c r="F25" s="251"/>
      <c r="G25" s="252"/>
      <c r="I25" s="106"/>
      <c r="J25" s="106"/>
      <c r="K25" s="106"/>
      <c r="L25" s="106"/>
      <c r="M25" s="106"/>
      <c r="N25" s="106"/>
      <c r="O25" s="106"/>
      <c r="P25" s="146" t="s">
        <v>193</v>
      </c>
      <c r="Q25" s="123"/>
      <c r="R25" s="136"/>
      <c r="S25" s="124"/>
    </row>
    <row r="26" spans="1:19" s="58" customFormat="1" ht="11.25" x14ac:dyDescent="0.25">
      <c r="A26" s="61">
        <f t="shared" ref="A26" si="1">A24+1</f>
        <v>2</v>
      </c>
      <c r="B26" s="61" t="str">
        <f>B24</f>
        <v>Przebudowa istniejącego peronu jednokrawedziowego</v>
      </c>
      <c r="C26" s="62" t="s">
        <v>20</v>
      </c>
      <c r="D26" s="164">
        <v>1</v>
      </c>
      <c r="E26" s="126">
        <f>F26/D26</f>
        <v>83000</v>
      </c>
      <c r="F26" s="249">
        <f>R26</f>
        <v>83000</v>
      </c>
      <c r="G26" s="250"/>
      <c r="I26" s="106"/>
      <c r="J26" s="106"/>
      <c r="K26" s="106"/>
      <c r="L26" s="106"/>
      <c r="M26" s="106"/>
      <c r="N26" s="106"/>
      <c r="O26" s="106"/>
      <c r="P26" s="132"/>
      <c r="Q26" s="121"/>
      <c r="R26" s="137">
        <f>'Rybnik Niedobczyce (2,5mln)'!E29+'Rybnik Niedobczyce (2,5mln)'!E24+'Rybnik Niedobczyce (2,5mln)'!E10</f>
        <v>83000</v>
      </c>
      <c r="S26" s="122" t="s">
        <v>179</v>
      </c>
    </row>
    <row r="27" spans="1:19" s="58" customFormat="1" ht="56.25" x14ac:dyDescent="0.25">
      <c r="A27" s="65"/>
      <c r="B27" s="113" t="s">
        <v>212</v>
      </c>
      <c r="C27" s="66"/>
      <c r="D27" s="125"/>
      <c r="E27" s="68"/>
      <c r="F27" s="251"/>
      <c r="G27" s="252"/>
      <c r="I27" s="106"/>
      <c r="J27" s="106"/>
      <c r="K27" s="106"/>
      <c r="L27" s="106"/>
      <c r="M27" s="106"/>
      <c r="N27" s="106"/>
      <c r="O27" s="106"/>
      <c r="P27" s="127"/>
      <c r="Q27" s="123"/>
      <c r="R27" s="136"/>
      <c r="S27" s="124"/>
    </row>
    <row r="28" spans="1:19" s="58" customFormat="1" ht="11.25" x14ac:dyDescent="0.25">
      <c r="A28" s="61">
        <f t="shared" ref="A28" si="2">A26+1</f>
        <v>3</v>
      </c>
      <c r="B28" s="61" t="str">
        <f>B26</f>
        <v>Przebudowa istniejącego peronu jednokrawedziowego</v>
      </c>
      <c r="C28" s="62" t="s">
        <v>44</v>
      </c>
      <c r="D28" s="164">
        <v>180</v>
      </c>
      <c r="E28" s="126">
        <f>F28/D28</f>
        <v>150</v>
      </c>
      <c r="F28" s="249">
        <f>R28</f>
        <v>27000</v>
      </c>
      <c r="G28" s="250"/>
      <c r="I28" s="106"/>
      <c r="J28" s="106"/>
      <c r="K28" s="106"/>
      <c r="L28" s="106"/>
      <c r="M28" s="106"/>
      <c r="N28" s="106"/>
      <c r="O28" s="106"/>
      <c r="P28" s="132"/>
      <c r="Q28" s="121"/>
      <c r="R28" s="137">
        <f>'Rybnik Niedobczyce (2,5mln)'!E28</f>
        <v>27000</v>
      </c>
      <c r="S28" s="122" t="s">
        <v>179</v>
      </c>
    </row>
    <row r="29" spans="1:19" s="58" customFormat="1" ht="22.5" x14ac:dyDescent="0.25">
      <c r="A29" s="65"/>
      <c r="B29" s="113" t="s">
        <v>186</v>
      </c>
      <c r="C29" s="66"/>
      <c r="D29" s="125"/>
      <c r="E29" s="68"/>
      <c r="F29" s="251"/>
      <c r="G29" s="252"/>
      <c r="I29" s="106"/>
      <c r="J29" s="106"/>
      <c r="K29" s="106"/>
      <c r="L29" s="106"/>
      <c r="M29" s="106"/>
      <c r="N29" s="106"/>
      <c r="O29" s="106"/>
      <c r="P29" s="127"/>
      <c r="Q29" s="123"/>
      <c r="R29" s="136"/>
      <c r="S29" s="124"/>
    </row>
    <row r="30" spans="1:19" s="58" customFormat="1" ht="22.5" x14ac:dyDescent="0.25">
      <c r="A30" s="61">
        <f>A28+1</f>
        <v>4</v>
      </c>
      <c r="B30" s="61" t="s">
        <v>190</v>
      </c>
      <c r="C30" s="62" t="s">
        <v>20</v>
      </c>
      <c r="D30" s="164">
        <v>1</v>
      </c>
      <c r="E30" s="126">
        <f>F30/D30</f>
        <v>5600</v>
      </c>
      <c r="F30" s="249">
        <f>R30</f>
        <v>5600</v>
      </c>
      <c r="G30" s="250"/>
      <c r="I30" s="106"/>
      <c r="J30" s="106"/>
      <c r="K30" s="106"/>
      <c r="L30" s="106"/>
      <c r="M30" s="106"/>
      <c r="N30" s="106"/>
      <c r="O30" s="106"/>
      <c r="P30" s="132"/>
      <c r="Q30" s="121"/>
      <c r="R30" s="137">
        <f>'Rybnik Niedobczyce (2,5mln)'!E9</f>
        <v>5600</v>
      </c>
      <c r="S30" s="122" t="s">
        <v>179</v>
      </c>
    </row>
    <row r="31" spans="1:19" s="58" customFormat="1" ht="21.95" customHeight="1" x14ac:dyDescent="0.25">
      <c r="A31" s="65"/>
      <c r="B31" s="113" t="s">
        <v>211</v>
      </c>
      <c r="C31" s="66"/>
      <c r="D31" s="125"/>
      <c r="E31" s="68"/>
      <c r="F31" s="251"/>
      <c r="G31" s="252"/>
      <c r="I31" s="106"/>
      <c r="J31" s="106"/>
      <c r="K31" s="106"/>
      <c r="L31" s="106"/>
      <c r="M31" s="106"/>
      <c r="N31" s="106"/>
      <c r="O31" s="106"/>
      <c r="P31" s="127"/>
      <c r="Q31" s="123"/>
      <c r="R31" s="136"/>
      <c r="S31" s="124"/>
    </row>
    <row r="32" spans="1:19" s="58" customFormat="1" ht="22.5" x14ac:dyDescent="0.25">
      <c r="A32" s="61">
        <f>A30+1</f>
        <v>5</v>
      </c>
      <c r="B32" s="61" t="str">
        <f>B30</f>
        <v>Przebudowa układu dróg dojścia do peronu, zabudowa pochylni, parkingów</v>
      </c>
      <c r="C32" s="62" t="s">
        <v>20</v>
      </c>
      <c r="D32" s="164">
        <v>1</v>
      </c>
      <c r="E32" s="126">
        <f>F32/D32</f>
        <v>76637.8754944799</v>
      </c>
      <c r="F32" s="249">
        <f>R32</f>
        <v>76637.8754944799</v>
      </c>
      <c r="G32" s="250"/>
      <c r="I32" s="106"/>
      <c r="J32" s="106"/>
      <c r="K32" s="106"/>
      <c r="L32" s="106"/>
      <c r="M32" s="106"/>
      <c r="N32" s="106"/>
      <c r="O32" s="106"/>
      <c r="P32" s="132"/>
      <c r="Q32" s="121"/>
      <c r="R32" s="137">
        <f>'Rybnik Niedobczyce (2,5mln)'!E32+'Rybnik Niedobczyce (2,5mln)'!E33+'Rybnik Niedobczyce (2,5mln)'!E34+'Rybnik Niedobczyce (2,5mln)'!E35</f>
        <v>76637.8754944799</v>
      </c>
      <c r="S32" s="122" t="s">
        <v>179</v>
      </c>
    </row>
    <row r="33" spans="1:19" s="58" customFormat="1" ht="159.75" customHeight="1" x14ac:dyDescent="0.25">
      <c r="A33" s="65"/>
      <c r="B33" s="113" t="s">
        <v>210</v>
      </c>
      <c r="C33" s="66"/>
      <c r="D33" s="125"/>
      <c r="E33" s="68"/>
      <c r="F33" s="251"/>
      <c r="G33" s="252"/>
      <c r="I33" s="106"/>
      <c r="J33" s="106"/>
      <c r="K33" s="106"/>
      <c r="L33" s="106"/>
      <c r="M33" s="106"/>
      <c r="N33" s="106"/>
      <c r="O33" s="106"/>
      <c r="P33" s="127"/>
      <c r="Q33" s="123"/>
      <c r="R33" s="136"/>
      <c r="S33" s="124"/>
    </row>
    <row r="34" spans="1:19" s="58" customFormat="1" ht="11.25" x14ac:dyDescent="0.25">
      <c r="A34" s="61">
        <f t="shared" ref="A34" si="3">A32+1</f>
        <v>6</v>
      </c>
      <c r="B34" s="61" t="s">
        <v>191</v>
      </c>
      <c r="C34" s="62" t="s">
        <v>20</v>
      </c>
      <c r="D34" s="164">
        <v>1</v>
      </c>
      <c r="E34" s="126">
        <f>F34/D34</f>
        <v>100000</v>
      </c>
      <c r="F34" s="249">
        <v>100000</v>
      </c>
      <c r="G34" s="250"/>
      <c r="I34" s="106"/>
      <c r="J34" s="106"/>
      <c r="K34" s="106"/>
      <c r="L34" s="106"/>
      <c r="M34" s="106"/>
      <c r="N34" s="106">
        <f>225*(1.2+1)*0.1+225*2.5*0.06+70*0.04</f>
        <v>86.05</v>
      </c>
      <c r="O34" s="106"/>
      <c r="P34" s="132" t="s">
        <v>187</v>
      </c>
      <c r="Q34" s="121" t="s">
        <v>188</v>
      </c>
      <c r="R34" s="137"/>
      <c r="S34" s="122"/>
    </row>
    <row r="35" spans="1:19" s="58" customFormat="1" ht="11.25" x14ac:dyDescent="0.25">
      <c r="A35" s="65"/>
      <c r="B35" s="65" t="s">
        <v>192</v>
      </c>
      <c r="C35" s="66"/>
      <c r="D35" s="125"/>
      <c r="E35" s="68"/>
      <c r="F35" s="251"/>
      <c r="G35" s="252"/>
      <c r="I35" s="106"/>
      <c r="J35" s="106"/>
      <c r="K35" s="106"/>
      <c r="L35" s="106"/>
      <c r="M35" s="106"/>
      <c r="N35" s="147">
        <f>7600/7</f>
        <v>1085.7142857142858</v>
      </c>
      <c r="O35" s="106"/>
      <c r="P35" s="127" t="s">
        <v>189</v>
      </c>
      <c r="Q35" s="123"/>
      <c r="R35" s="137">
        <f>N34*N35*1.1</f>
        <v>102768.28571428572</v>
      </c>
      <c r="S35" s="122" t="s">
        <v>179</v>
      </c>
    </row>
    <row r="36" spans="1:19" s="58" customFormat="1" ht="11.25" x14ac:dyDescent="0.25">
      <c r="A36" s="115"/>
      <c r="B36" s="116"/>
      <c r="C36" s="117"/>
      <c r="D36" s="163"/>
      <c r="E36" s="118"/>
      <c r="F36" s="247">
        <f>SUM(F24:G35)</f>
        <v>1125941.3462433787</v>
      </c>
      <c r="G36" s="248"/>
      <c r="H36" s="119" t="b">
        <f>F36=I36</f>
        <v>1</v>
      </c>
      <c r="I36" s="145">
        <f>'Rybnik Niedobczyce (2,5mln)'!E4+SUM('Rybnik Niedobczyce (2,5mln)'!E7:E12)+'Rybnik Niedobczyce (2,5mln)'!E24+SUM('Rybnik Niedobczyce (2,5mln)'!E27:E29)+SUM('Rybnik Niedobczyce (2,5mln)'!E32:E35)</f>
        <v>1125941.3462433785</v>
      </c>
      <c r="J36" s="106"/>
      <c r="K36" s="106"/>
      <c r="L36" s="106"/>
      <c r="M36" s="106"/>
      <c r="N36" s="147"/>
      <c r="O36" s="106"/>
      <c r="P36" s="139"/>
      <c r="Q36" s="108"/>
      <c r="R36" s="138"/>
      <c r="S36" s="108"/>
    </row>
    <row r="37" spans="1:19" s="58" customFormat="1" ht="11.25" customHeight="1" x14ac:dyDescent="0.25">
      <c r="A37" s="239" t="s">
        <v>88</v>
      </c>
      <c r="B37" s="240"/>
      <c r="C37" s="240"/>
      <c r="D37" s="240"/>
      <c r="E37" s="240"/>
      <c r="F37" s="245"/>
      <c r="G37" s="246"/>
      <c r="H37" s="119"/>
      <c r="I37" s="145"/>
      <c r="J37" s="106"/>
      <c r="K37" s="106"/>
      <c r="L37" s="106"/>
      <c r="M37" s="106"/>
      <c r="N37" s="147"/>
      <c r="O37" s="106"/>
      <c r="P37" s="139"/>
      <c r="Q37" s="108"/>
      <c r="R37" s="138"/>
      <c r="S37" s="108"/>
    </row>
    <row r="38" spans="1:19" s="58" customFormat="1" ht="33.75" x14ac:dyDescent="0.25">
      <c r="A38" s="61">
        <f>A22+1</f>
        <v>1</v>
      </c>
      <c r="B38" s="61" t="s">
        <v>207</v>
      </c>
      <c r="C38" s="62" t="s">
        <v>20</v>
      </c>
      <c r="D38" s="164">
        <v>1</v>
      </c>
      <c r="E38" s="126">
        <f>F38/D38</f>
        <v>87000</v>
      </c>
      <c r="F38" s="249">
        <f>R38+5000</f>
        <v>87000</v>
      </c>
      <c r="G38" s="250"/>
      <c r="I38" s="106"/>
      <c r="J38" s="106"/>
      <c r="K38" s="106"/>
      <c r="L38" s="106"/>
      <c r="M38" s="106"/>
      <c r="N38" s="106"/>
      <c r="O38" s="106"/>
      <c r="P38" s="132"/>
      <c r="Q38" s="121"/>
      <c r="R38" s="137">
        <f>'Rybnik Niedobczyce (2,5mln)'!E38</f>
        <v>82000</v>
      </c>
      <c r="S38" s="122" t="s">
        <v>179</v>
      </c>
    </row>
    <row r="39" spans="1:19" s="58" customFormat="1" ht="65.25" customHeight="1" x14ac:dyDescent="0.25">
      <c r="A39" s="65"/>
      <c r="B39" s="113" t="s">
        <v>208</v>
      </c>
      <c r="C39" s="66"/>
      <c r="D39" s="125"/>
      <c r="E39" s="68"/>
      <c r="F39" s="251"/>
      <c r="G39" s="252"/>
      <c r="I39" s="106"/>
      <c r="J39" s="106"/>
      <c r="K39" s="106"/>
      <c r="L39" s="106"/>
      <c r="M39" s="106"/>
      <c r="N39" s="106"/>
      <c r="O39" s="106"/>
      <c r="P39" s="127"/>
      <c r="Q39" s="123"/>
      <c r="R39" s="136"/>
      <c r="S39" s="124"/>
    </row>
    <row r="40" spans="1:19" s="58" customFormat="1" ht="40.5" customHeight="1" x14ac:dyDescent="0.25">
      <c r="A40" s="61">
        <f t="shared" ref="A40:A52" si="4">A38+1</f>
        <v>2</v>
      </c>
      <c r="B40" s="61" t="str">
        <f>B38</f>
        <v>Montaż  systemu okablowania i uszynień, demontaż istniejących słupów oświetleniowych wraz z budową nowego oświetlenia peronu, parkingu i dróg dojścia, sieci kablowej podziemnej</v>
      </c>
      <c r="C40" s="62" t="s">
        <v>20</v>
      </c>
      <c r="D40" s="164">
        <v>1</v>
      </c>
      <c r="E40" s="126">
        <f>F40/D40</f>
        <v>13000</v>
      </c>
      <c r="F40" s="249">
        <f>R40+3000</f>
        <v>13000</v>
      </c>
      <c r="G40" s="250"/>
      <c r="I40" s="106"/>
      <c r="J40" s="106"/>
      <c r="K40" s="106"/>
      <c r="L40" s="106"/>
      <c r="M40" s="106"/>
      <c r="N40" s="106"/>
      <c r="O40" s="106"/>
      <c r="P40" s="132"/>
      <c r="Q40" s="121"/>
      <c r="R40" s="137">
        <f>'Rybnik Niedobczyce (2,5mln)'!E39</f>
        <v>10000</v>
      </c>
      <c r="S40" s="122" t="s">
        <v>179</v>
      </c>
    </row>
    <row r="41" spans="1:19" s="58" customFormat="1" ht="51.75" customHeight="1" x14ac:dyDescent="0.25">
      <c r="A41" s="65"/>
      <c r="B41" s="179" t="s">
        <v>209</v>
      </c>
      <c r="C41" s="66"/>
      <c r="D41" s="125"/>
      <c r="E41" s="68"/>
      <c r="F41" s="251"/>
      <c r="G41" s="252"/>
      <c r="I41" s="106"/>
      <c r="J41" s="106"/>
      <c r="K41" s="106"/>
      <c r="L41" s="106"/>
      <c r="M41" s="106"/>
      <c r="N41" s="106"/>
      <c r="O41" s="106"/>
      <c r="P41" s="127"/>
      <c r="Q41" s="123"/>
      <c r="R41" s="136"/>
      <c r="S41" s="124"/>
    </row>
    <row r="42" spans="1:19" s="58" customFormat="1" ht="11.25" x14ac:dyDescent="0.25">
      <c r="A42" s="115"/>
      <c r="B42" s="116"/>
      <c r="C42" s="117"/>
      <c r="D42" s="163"/>
      <c r="E42" s="118"/>
      <c r="F42" s="247">
        <f>SUM(F38:G41)</f>
        <v>100000</v>
      </c>
      <c r="G42" s="248"/>
      <c r="H42" s="119" t="b">
        <f>F42=I42</f>
        <v>0</v>
      </c>
      <c r="I42" s="145">
        <f>'Rybnik Niedobczyce (2,5mln)'!E40</f>
        <v>92000</v>
      </c>
      <c r="J42" s="106"/>
      <c r="K42" s="106"/>
      <c r="L42" s="106"/>
      <c r="M42" s="106"/>
      <c r="N42" s="147"/>
      <c r="O42" s="106"/>
      <c r="P42" s="139"/>
      <c r="Q42" s="108"/>
      <c r="R42" s="138"/>
      <c r="S42" s="108"/>
    </row>
    <row r="43" spans="1:19" s="58" customFormat="1" ht="11.25" customHeight="1" x14ac:dyDescent="0.25">
      <c r="A43" s="239" t="s">
        <v>91</v>
      </c>
      <c r="B43" s="240"/>
      <c r="C43" s="240"/>
      <c r="D43" s="240"/>
      <c r="E43" s="240"/>
      <c r="F43" s="245"/>
      <c r="G43" s="246"/>
      <c r="H43" s="119"/>
      <c r="I43" s="145"/>
      <c r="J43" s="106"/>
      <c r="K43" s="106"/>
      <c r="L43" s="106"/>
      <c r="M43" s="106"/>
      <c r="N43" s="147"/>
      <c r="O43" s="106"/>
      <c r="P43" s="139"/>
      <c r="Q43" s="108"/>
      <c r="R43" s="138"/>
      <c r="S43" s="108"/>
    </row>
    <row r="44" spans="1:19" s="58" customFormat="1" ht="11.1" customHeight="1" x14ac:dyDescent="0.25">
      <c r="A44" s="61">
        <f t="shared" ref="A44" si="5">A42+1</f>
        <v>1</v>
      </c>
      <c r="B44" s="61" t="s">
        <v>204</v>
      </c>
      <c r="C44" s="176" t="s">
        <v>18</v>
      </c>
      <c r="D44" s="164">
        <f>1*0.15+1*0.05</f>
        <v>0.2</v>
      </c>
      <c r="E44" s="126">
        <f>F44/D44</f>
        <v>125000</v>
      </c>
      <c r="F44" s="249">
        <v>25000</v>
      </c>
      <c r="G44" s="250"/>
      <c r="I44" s="106"/>
      <c r="J44" s="106"/>
      <c r="K44" s="106"/>
      <c r="L44" s="106"/>
      <c r="M44" s="106"/>
      <c r="N44" s="106"/>
      <c r="O44" s="106"/>
      <c r="P44" s="132"/>
      <c r="Q44" s="121"/>
      <c r="R44" s="137">
        <f>'Rybnik Niedobczyce (2,5mln)'!E42</f>
        <v>55000</v>
      </c>
      <c r="S44" s="122" t="s">
        <v>179</v>
      </c>
    </row>
    <row r="45" spans="1:19" s="58" customFormat="1" ht="11.25" x14ac:dyDescent="0.25">
      <c r="A45" s="65"/>
      <c r="B45" s="65"/>
      <c r="C45" s="177"/>
      <c r="D45" s="125"/>
      <c r="E45" s="68"/>
      <c r="F45" s="251"/>
      <c r="G45" s="252"/>
      <c r="I45" s="106"/>
      <c r="J45" s="106"/>
      <c r="K45" s="106"/>
      <c r="L45" s="106"/>
      <c r="M45" s="106"/>
      <c r="N45" s="106"/>
      <c r="O45" s="106"/>
      <c r="P45" s="127"/>
      <c r="Q45" s="123"/>
      <c r="R45" s="136"/>
      <c r="S45" s="124"/>
    </row>
    <row r="46" spans="1:19" s="58" customFormat="1" ht="11.25" x14ac:dyDescent="0.25">
      <c r="A46" s="61">
        <f>A44+1</f>
        <v>2</v>
      </c>
      <c r="B46" s="61" t="s">
        <v>202</v>
      </c>
      <c r="C46" s="176" t="s">
        <v>20</v>
      </c>
      <c r="D46" s="164">
        <v>1</v>
      </c>
      <c r="E46" s="126">
        <f>F46/D46</f>
        <v>15000</v>
      </c>
      <c r="F46" s="249">
        <v>15000</v>
      </c>
      <c r="G46" s="250"/>
      <c r="I46" s="106"/>
      <c r="J46" s="106"/>
      <c r="K46" s="106"/>
      <c r="L46" s="106"/>
      <c r="M46" s="106"/>
      <c r="N46" s="106"/>
      <c r="O46" s="106"/>
      <c r="P46" s="143"/>
      <c r="Q46" s="108"/>
      <c r="R46" s="138"/>
      <c r="S46" s="144"/>
    </row>
    <row r="47" spans="1:19" s="58" customFormat="1" ht="11.25" x14ac:dyDescent="0.25">
      <c r="A47" s="65"/>
      <c r="B47" s="65"/>
      <c r="C47" s="177"/>
      <c r="D47" s="125"/>
      <c r="E47" s="68"/>
      <c r="F47" s="251"/>
      <c r="G47" s="252"/>
      <c r="I47" s="106"/>
      <c r="J47" s="106"/>
      <c r="K47" s="106"/>
      <c r="L47" s="106"/>
      <c r="M47" s="106"/>
      <c r="N47" s="106"/>
      <c r="O47" s="106"/>
      <c r="P47" s="143"/>
      <c r="Q47" s="108"/>
      <c r="R47" s="138"/>
      <c r="S47" s="144"/>
    </row>
    <row r="48" spans="1:19" s="58" customFormat="1" ht="22.5" x14ac:dyDescent="0.25">
      <c r="A48" s="61">
        <f>A46+1</f>
        <v>3</v>
      </c>
      <c r="B48" s="61" t="s">
        <v>203</v>
      </c>
      <c r="C48" s="176" t="s">
        <v>20</v>
      </c>
      <c r="D48" s="164">
        <v>1</v>
      </c>
      <c r="E48" s="126">
        <f>F48/D48</f>
        <v>25000</v>
      </c>
      <c r="F48" s="249">
        <v>25000</v>
      </c>
      <c r="G48" s="250"/>
      <c r="I48" s="106"/>
      <c r="J48" s="106"/>
      <c r="K48" s="106"/>
      <c r="L48" s="106"/>
      <c r="M48" s="106"/>
      <c r="N48" s="106"/>
      <c r="O48" s="106"/>
      <c r="P48" s="132"/>
      <c r="Q48" s="121"/>
      <c r="R48" s="137">
        <f>'Rybnik Niedobczyce (2,5mln)'!E43</f>
        <v>15000</v>
      </c>
      <c r="S48" s="122" t="s">
        <v>179</v>
      </c>
    </row>
    <row r="49" spans="1:19" s="58" customFormat="1" ht="11.25" x14ac:dyDescent="0.25">
      <c r="A49" s="65"/>
      <c r="B49" s="65"/>
      <c r="C49" s="177"/>
      <c r="D49" s="125"/>
      <c r="E49" s="68"/>
      <c r="F49" s="251"/>
      <c r="G49" s="252"/>
      <c r="I49" s="106"/>
      <c r="J49" s="106"/>
      <c r="K49" s="106"/>
      <c r="L49" s="106"/>
      <c r="M49" s="106"/>
      <c r="N49" s="106"/>
      <c r="O49" s="106"/>
      <c r="P49" s="127"/>
      <c r="Q49" s="123"/>
      <c r="R49" s="136"/>
      <c r="S49" s="124"/>
    </row>
    <row r="50" spans="1:19" s="58" customFormat="1" ht="11.25" x14ac:dyDescent="0.25">
      <c r="A50" s="115"/>
      <c r="B50" s="116"/>
      <c r="C50" s="117"/>
      <c r="D50" s="163"/>
      <c r="E50" s="118"/>
      <c r="F50" s="247">
        <f>SUM(F44:G49)</f>
        <v>65000</v>
      </c>
      <c r="G50" s="248"/>
      <c r="H50" s="119" t="b">
        <f>F50=I50</f>
        <v>0</v>
      </c>
      <c r="I50" s="145">
        <f>'Rybnik Niedobczyce (2,5mln)'!E44</f>
        <v>70000</v>
      </c>
      <c r="J50" s="106"/>
      <c r="K50" s="106"/>
      <c r="L50" s="106"/>
      <c r="M50" s="106"/>
      <c r="N50" s="147"/>
      <c r="O50" s="106"/>
      <c r="P50" s="139"/>
      <c r="Q50" s="108"/>
      <c r="R50" s="138"/>
      <c r="S50" s="108"/>
    </row>
    <row r="51" spans="1:19" s="58" customFormat="1" ht="11.25" customHeight="1" x14ac:dyDescent="0.25">
      <c r="A51" s="239" t="s">
        <v>194</v>
      </c>
      <c r="B51" s="240"/>
      <c r="C51" s="240"/>
      <c r="D51" s="240"/>
      <c r="E51" s="240"/>
      <c r="F51" s="245"/>
      <c r="G51" s="246"/>
      <c r="H51" s="119"/>
      <c r="I51" s="145"/>
      <c r="J51" s="106"/>
      <c r="K51" s="106"/>
      <c r="L51" s="106"/>
      <c r="M51" s="106"/>
      <c r="N51" s="147"/>
      <c r="O51" s="106"/>
      <c r="P51" s="139"/>
      <c r="Q51" s="108"/>
      <c r="R51" s="138"/>
      <c r="S51" s="108"/>
    </row>
    <row r="52" spans="1:19" s="58" customFormat="1" ht="11.25" x14ac:dyDescent="0.25">
      <c r="A52" s="61">
        <f t="shared" si="4"/>
        <v>1</v>
      </c>
      <c r="B52" s="61" t="s">
        <v>195</v>
      </c>
      <c r="C52" s="62" t="s">
        <v>20</v>
      </c>
      <c r="D52" s="164">
        <v>1</v>
      </c>
      <c r="E52" s="126">
        <f>F52/D52</f>
        <v>40000</v>
      </c>
      <c r="F52" s="249">
        <f>R52</f>
        <v>40000</v>
      </c>
      <c r="G52" s="250"/>
      <c r="I52" s="106"/>
      <c r="J52" s="106"/>
      <c r="K52" s="106"/>
      <c r="L52" s="106"/>
      <c r="M52" s="106"/>
      <c r="N52" s="106"/>
      <c r="O52" s="106"/>
      <c r="P52" s="132"/>
      <c r="Q52" s="121"/>
      <c r="R52" s="137">
        <f>'Rybnik Niedobczyce (2,5mln)'!E46</f>
        <v>40000</v>
      </c>
      <c r="S52" s="122" t="s">
        <v>179</v>
      </c>
    </row>
    <row r="53" spans="1:19" s="58" customFormat="1" ht="11.25" x14ac:dyDescent="0.25">
      <c r="A53" s="65"/>
      <c r="B53" s="65"/>
      <c r="C53" s="66"/>
      <c r="D53" s="125"/>
      <c r="E53" s="68"/>
      <c r="F53" s="251"/>
      <c r="G53" s="252"/>
      <c r="I53" s="106"/>
      <c r="J53" s="106"/>
      <c r="K53" s="106"/>
      <c r="L53" s="106"/>
      <c r="M53" s="106"/>
      <c r="N53" s="106"/>
      <c r="O53" s="106"/>
      <c r="P53" s="127"/>
      <c r="Q53" s="123"/>
      <c r="R53" s="136"/>
      <c r="S53" s="124"/>
    </row>
    <row r="54" spans="1:19" s="58" customFormat="1" ht="11.25" x14ac:dyDescent="0.25">
      <c r="A54" s="115"/>
      <c r="B54" s="116"/>
      <c r="C54" s="117"/>
      <c r="D54" s="163"/>
      <c r="E54" s="118"/>
      <c r="F54" s="247">
        <f>SUM(F52:G53)</f>
        <v>40000</v>
      </c>
      <c r="G54" s="248"/>
      <c r="H54" s="119" t="b">
        <f>F54=I54</f>
        <v>1</v>
      </c>
      <c r="I54" s="145">
        <f>'Rybnik Niedobczyce (2,5mln)'!E47</f>
        <v>40000</v>
      </c>
      <c r="J54" s="106"/>
      <c r="K54" s="106"/>
      <c r="L54" s="106"/>
      <c r="M54" s="106"/>
      <c r="N54" s="147"/>
      <c r="O54" s="106"/>
      <c r="P54" s="139"/>
      <c r="Q54" s="108"/>
      <c r="R54" s="138"/>
      <c r="S54" s="108"/>
    </row>
    <row r="55" spans="1:19" s="58" customFormat="1" ht="11.1" customHeight="1" x14ac:dyDescent="0.25">
      <c r="A55" s="239" t="s">
        <v>196</v>
      </c>
      <c r="B55" s="240"/>
      <c r="C55" s="240"/>
      <c r="D55" s="240"/>
      <c r="E55" s="240"/>
      <c r="F55" s="245"/>
      <c r="G55" s="246"/>
      <c r="I55" s="106"/>
      <c r="J55" s="106"/>
      <c r="K55" s="106"/>
      <c r="L55" s="106"/>
      <c r="M55" s="106"/>
      <c r="N55" s="106"/>
      <c r="O55" s="106"/>
      <c r="P55" s="130"/>
      <c r="R55" s="134"/>
    </row>
    <row r="56" spans="1:19" s="150" customFormat="1" ht="12" x14ac:dyDescent="0.25">
      <c r="A56" s="241"/>
      <c r="B56" s="151" t="s">
        <v>96</v>
      </c>
      <c r="C56" s="152" t="s">
        <v>137</v>
      </c>
      <c r="D56" s="168" t="s">
        <v>197</v>
      </c>
      <c r="E56" s="153"/>
      <c r="F56" s="257">
        <f>ROUND(F6,2)</f>
        <v>70000</v>
      </c>
      <c r="G56" s="256"/>
      <c r="I56" s="154"/>
      <c r="J56" s="154"/>
      <c r="K56" s="154"/>
      <c r="L56" s="154"/>
      <c r="M56" s="154"/>
      <c r="N56" s="154"/>
      <c r="O56" s="154"/>
      <c r="P56" s="155"/>
      <c r="R56" s="156"/>
    </row>
    <row r="57" spans="1:19" s="150" customFormat="1" ht="12" x14ac:dyDescent="0.25">
      <c r="A57" s="242"/>
      <c r="B57" s="157" t="s">
        <v>97</v>
      </c>
      <c r="C57" s="152" t="s">
        <v>137</v>
      </c>
      <c r="D57" s="168" t="s">
        <v>198</v>
      </c>
      <c r="E57" s="153"/>
      <c r="F57" s="257">
        <f>ROUND(F22+F36+F42+F50+F54,2)</f>
        <v>2310252.87</v>
      </c>
      <c r="G57" s="256"/>
      <c r="I57" s="154"/>
      <c r="J57" s="154"/>
      <c r="K57" s="154"/>
      <c r="L57" s="154"/>
      <c r="M57" s="154"/>
      <c r="N57" s="154"/>
      <c r="O57" s="154"/>
      <c r="P57" s="155"/>
      <c r="R57" s="156"/>
    </row>
    <row r="58" spans="1:19" s="150" customFormat="1" ht="36" x14ac:dyDescent="0.25">
      <c r="A58" s="242"/>
      <c r="B58" s="157" t="s">
        <v>140</v>
      </c>
      <c r="C58" s="152" t="s">
        <v>137</v>
      </c>
      <c r="D58" s="178" t="s">
        <v>206</v>
      </c>
      <c r="E58" s="153"/>
      <c r="F58" s="257">
        <f>ROUND(0.05*(F56+F57),2)</f>
        <v>119012.64</v>
      </c>
      <c r="G58" s="256"/>
      <c r="I58" s="154"/>
      <c r="J58" s="154"/>
      <c r="K58" s="154"/>
      <c r="L58" s="154"/>
      <c r="M58" s="154"/>
      <c r="N58" s="154"/>
      <c r="O58" s="154"/>
      <c r="P58" s="155"/>
      <c r="R58" s="156"/>
    </row>
    <row r="59" spans="1:19" s="150" customFormat="1" ht="12" x14ac:dyDescent="0.25">
      <c r="A59" s="242"/>
      <c r="B59" s="244" t="s">
        <v>63</v>
      </c>
      <c r="C59" s="244"/>
      <c r="D59" s="244"/>
      <c r="E59" s="244"/>
      <c r="F59" s="255">
        <f>F56+F57+F58</f>
        <v>2499265.5100000002</v>
      </c>
      <c r="G59" s="244"/>
      <c r="H59" s="119" t="b">
        <f>F59=I59</f>
        <v>0</v>
      </c>
      <c r="I59" s="145">
        <f>'Rybnik Niedobczyce (2,5mln)'!E67</f>
        <v>2490865.5100000002</v>
      </c>
      <c r="J59" s="154"/>
      <c r="K59" s="154"/>
      <c r="L59" s="154"/>
      <c r="M59" s="154"/>
      <c r="N59" s="154"/>
      <c r="O59" s="154"/>
      <c r="P59" s="155"/>
      <c r="R59" s="156"/>
    </row>
    <row r="60" spans="1:19" s="150" customFormat="1" ht="12" x14ac:dyDescent="0.25">
      <c r="A60" s="243"/>
      <c r="B60" s="256" t="s">
        <v>64</v>
      </c>
      <c r="C60" s="256"/>
      <c r="D60" s="256"/>
      <c r="E60" s="256"/>
      <c r="F60" s="257">
        <f>SUM(F59*1.23)</f>
        <v>3074096.5773000005</v>
      </c>
      <c r="G60" s="257"/>
      <c r="I60" s="154"/>
      <c r="J60" s="154"/>
      <c r="K60" s="154"/>
      <c r="L60" s="154"/>
      <c r="M60" s="154"/>
      <c r="N60" s="154"/>
      <c r="O60" s="154"/>
      <c r="P60" s="155"/>
      <c r="R60" s="156"/>
    </row>
    <row r="61" spans="1:19" s="150" customFormat="1" ht="15" customHeight="1" x14ac:dyDescent="0.25">
      <c r="C61" s="259" t="s">
        <v>219</v>
      </c>
      <c r="D61" s="259"/>
      <c r="E61" s="259"/>
      <c r="F61" s="259"/>
      <c r="G61" s="259"/>
      <c r="I61" s="154"/>
      <c r="J61" s="154"/>
      <c r="K61" s="154"/>
      <c r="L61" s="154"/>
      <c r="M61" s="154"/>
      <c r="N61" s="154"/>
      <c r="O61" s="154"/>
      <c r="P61" s="155"/>
      <c r="R61" s="156"/>
    </row>
    <row r="62" spans="1:19" s="150" customFormat="1" ht="12" x14ac:dyDescent="0.25">
      <c r="B62" s="159" t="s">
        <v>51</v>
      </c>
      <c r="D62" s="165"/>
      <c r="I62" s="154"/>
      <c r="J62" s="154"/>
      <c r="K62" s="154"/>
      <c r="L62" s="154"/>
      <c r="M62" s="154"/>
      <c r="N62" s="154"/>
      <c r="O62" s="154"/>
      <c r="P62" s="155"/>
      <c r="R62" s="156"/>
    </row>
    <row r="63" spans="1:19" s="150" customFormat="1" ht="15" customHeight="1" x14ac:dyDescent="0.25">
      <c r="B63" s="258" t="s">
        <v>98</v>
      </c>
      <c r="C63" s="258"/>
      <c r="D63" s="258"/>
      <c r="E63" s="258"/>
      <c r="F63" s="258"/>
      <c r="G63" s="258"/>
      <c r="H63" s="160"/>
      <c r="I63" s="154"/>
      <c r="J63" s="154"/>
      <c r="K63" s="154"/>
      <c r="L63" s="154"/>
      <c r="M63" s="154"/>
      <c r="N63" s="154"/>
      <c r="O63" s="154"/>
      <c r="P63" s="155"/>
      <c r="R63" s="156"/>
    </row>
  </sheetData>
  <mergeCells count="72">
    <mergeCell ref="F46:G46"/>
    <mergeCell ref="F47:G47"/>
    <mergeCell ref="F19:G19"/>
    <mergeCell ref="F20:G20"/>
    <mergeCell ref="F4:G4"/>
    <mergeCell ref="F5:G5"/>
    <mergeCell ref="F7:G7"/>
    <mergeCell ref="F37:G37"/>
    <mergeCell ref="F36:G36"/>
    <mergeCell ref="F56:G56"/>
    <mergeCell ref="F57:G57"/>
    <mergeCell ref="F58:G58"/>
    <mergeCell ref="F24:G24"/>
    <mergeCell ref="F25:G25"/>
    <mergeCell ref="F26:G26"/>
    <mergeCell ref="F38:G38"/>
    <mergeCell ref="F49:G49"/>
    <mergeCell ref="F50:G50"/>
    <mergeCell ref="F51:G51"/>
    <mergeCell ref="F52:G52"/>
    <mergeCell ref="F42:G42"/>
    <mergeCell ref="F43:G43"/>
    <mergeCell ref="F44:G44"/>
    <mergeCell ref="F45:G45"/>
    <mergeCell ref="F48:G48"/>
    <mergeCell ref="F59:G59"/>
    <mergeCell ref="B60:E60"/>
    <mergeCell ref="F60:G60"/>
    <mergeCell ref="B63:G63"/>
    <mergeCell ref="C61:G61"/>
    <mergeCell ref="F55:G55"/>
    <mergeCell ref="F3:G3"/>
    <mergeCell ref="F11:G11"/>
    <mergeCell ref="F12:G12"/>
    <mergeCell ref="F13:G13"/>
    <mergeCell ref="F14:G14"/>
    <mergeCell ref="F54:G54"/>
    <mergeCell ref="F53:G53"/>
    <mergeCell ref="F31:G31"/>
    <mergeCell ref="F32:G32"/>
    <mergeCell ref="F33:G33"/>
    <mergeCell ref="F34:G34"/>
    <mergeCell ref="F35:G35"/>
    <mergeCell ref="F39:G39"/>
    <mergeCell ref="F40:G40"/>
    <mergeCell ref="F41:G41"/>
    <mergeCell ref="A3:E3"/>
    <mergeCell ref="A1:G1"/>
    <mergeCell ref="F8:G8"/>
    <mergeCell ref="F9:G9"/>
    <mergeCell ref="F10:G10"/>
    <mergeCell ref="F2:G2"/>
    <mergeCell ref="A23:E23"/>
    <mergeCell ref="F23:G23"/>
    <mergeCell ref="F6:G6"/>
    <mergeCell ref="F22:G22"/>
    <mergeCell ref="F30:G30"/>
    <mergeCell ref="F15:G15"/>
    <mergeCell ref="F16:G16"/>
    <mergeCell ref="F17:G17"/>
    <mergeCell ref="A7:E7"/>
    <mergeCell ref="F18:G18"/>
    <mergeCell ref="F21:G21"/>
    <mergeCell ref="F27:G27"/>
    <mergeCell ref="F28:G28"/>
    <mergeCell ref="F29:G29"/>
    <mergeCell ref="A43:E43"/>
    <mergeCell ref="A51:E51"/>
    <mergeCell ref="A55:E55"/>
    <mergeCell ref="A56:A60"/>
    <mergeCell ref="A37:E37"/>
    <mergeCell ref="B59:E59"/>
  </mergeCells>
  <pageMargins left="0.70866141732283472" right="0.70866141732283472" top="0.74803149606299213" bottom="0.74803149606299213" header="0.31496062992125984" footer="0.31496062992125984"/>
  <pageSetup paperSize="9" scale="93" fitToHeight="0" orientation="portrait" r:id="rId1"/>
  <rowBreaks count="1" manualBreakCount="1">
    <brk id="22"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topLeftCell="A32" zoomScale="130" zoomScaleNormal="130" workbookViewId="0">
      <selection activeCell="C11" sqref="C11"/>
    </sheetView>
  </sheetViews>
  <sheetFormatPr defaultRowHeight="15" x14ac:dyDescent="0.25"/>
  <cols>
    <col min="1" max="1" width="51.42578125" customWidth="1"/>
    <col min="3" max="3" width="18" customWidth="1"/>
  </cols>
  <sheetData>
    <row r="1" spans="1:6" ht="15.75" thickBot="1" x14ac:dyDescent="0.3">
      <c r="A1" s="352" t="s">
        <v>60</v>
      </c>
      <c r="B1" s="352"/>
      <c r="C1" s="352"/>
      <c r="D1" s="352"/>
      <c r="E1" s="352"/>
      <c r="F1" s="352"/>
    </row>
    <row r="2" spans="1:6" ht="15.75" thickBot="1" x14ac:dyDescent="0.3">
      <c r="A2" s="24" t="s">
        <v>37</v>
      </c>
      <c r="B2" s="24" t="s">
        <v>31</v>
      </c>
      <c r="C2" s="24" t="s">
        <v>32</v>
      </c>
      <c r="D2" s="24" t="s">
        <v>35</v>
      </c>
      <c r="E2" s="353"/>
      <c r="F2" s="354"/>
    </row>
    <row r="3" spans="1:6" ht="15.75" thickBot="1" x14ac:dyDescent="0.3">
      <c r="A3" s="15" t="s">
        <v>48</v>
      </c>
      <c r="B3" s="5" t="s">
        <v>20</v>
      </c>
      <c r="C3" s="9">
        <v>1</v>
      </c>
      <c r="D3" s="29">
        <v>1</v>
      </c>
      <c r="E3" s="355">
        <v>2000</v>
      </c>
      <c r="F3" s="356"/>
    </row>
    <row r="4" spans="1:6" ht="15.75" thickBot="1" x14ac:dyDescent="0.3">
      <c r="A4" s="16" t="s">
        <v>57</v>
      </c>
      <c r="B4" s="2"/>
      <c r="C4" s="7"/>
      <c r="D4" s="2"/>
      <c r="E4" s="357">
        <f>SUM(E3)</f>
        <v>2000</v>
      </c>
      <c r="F4" s="358"/>
    </row>
    <row r="5" spans="1:6" ht="15.75" thickBot="1" x14ac:dyDescent="0.3">
      <c r="A5" s="17" t="s">
        <v>0</v>
      </c>
      <c r="B5" s="3"/>
      <c r="C5" s="8"/>
      <c r="D5" s="3"/>
      <c r="E5" s="359">
        <v>1</v>
      </c>
      <c r="F5" s="360"/>
    </row>
    <row r="6" spans="1:6" x14ac:dyDescent="0.25">
      <c r="A6" s="361" t="s">
        <v>30</v>
      </c>
      <c r="B6" s="361" t="s">
        <v>17</v>
      </c>
      <c r="C6" s="363">
        <v>0</v>
      </c>
      <c r="D6" s="365">
        <v>62.57</v>
      </c>
      <c r="E6" s="366">
        <f>C6*D6</f>
        <v>0</v>
      </c>
      <c r="F6" s="365"/>
    </row>
    <row r="7" spans="1:6" x14ac:dyDescent="0.25">
      <c r="A7" s="362"/>
      <c r="B7" s="362"/>
      <c r="C7" s="364"/>
      <c r="D7" s="351"/>
      <c r="E7" s="367"/>
      <c r="F7" s="351"/>
    </row>
    <row r="8" spans="1:6" ht="15.75" thickBot="1" x14ac:dyDescent="0.3">
      <c r="A8" s="15" t="s">
        <v>1</v>
      </c>
      <c r="B8" s="5" t="s">
        <v>17</v>
      </c>
      <c r="C8" s="9">
        <v>0</v>
      </c>
      <c r="D8" s="29">
        <v>59.06</v>
      </c>
      <c r="E8" s="355">
        <f>C8*D8</f>
        <v>0</v>
      </c>
      <c r="F8" s="356"/>
    </row>
    <row r="9" spans="1:6" ht="15.75" thickBot="1" x14ac:dyDescent="0.3">
      <c r="A9" s="1" t="s">
        <v>2</v>
      </c>
      <c r="B9" s="2"/>
      <c r="C9" s="7"/>
      <c r="D9" s="2"/>
      <c r="E9" s="357">
        <f>SUM(E6:F8)</f>
        <v>0</v>
      </c>
      <c r="F9" s="358"/>
    </row>
    <row r="10" spans="1:6" ht="15.75" thickBot="1" x14ac:dyDescent="0.3">
      <c r="A10" s="18" t="s">
        <v>3</v>
      </c>
      <c r="B10" s="3"/>
      <c r="C10" s="8"/>
      <c r="D10" s="3"/>
      <c r="E10" s="368">
        <v>1</v>
      </c>
      <c r="F10" s="369"/>
    </row>
    <row r="11" spans="1:6" x14ac:dyDescent="0.25">
      <c r="A11" s="19" t="s">
        <v>4</v>
      </c>
      <c r="B11" s="4" t="s">
        <v>18</v>
      </c>
      <c r="C11" s="31">
        <v>0</v>
      </c>
      <c r="D11" s="14">
        <v>82297.63</v>
      </c>
      <c r="E11" s="350">
        <f>C11*D11</f>
        <v>0</v>
      </c>
      <c r="F11" s="351"/>
    </row>
    <row r="12" spans="1:6" x14ac:dyDescent="0.25">
      <c r="A12" s="19" t="s">
        <v>5</v>
      </c>
      <c r="B12" s="4" t="s">
        <v>19</v>
      </c>
      <c r="C12" s="31">
        <v>0</v>
      </c>
      <c r="D12" s="14">
        <v>223.5</v>
      </c>
      <c r="E12" s="350">
        <f t="shared" ref="E12:E16" si="0">C12*D12</f>
        <v>0</v>
      </c>
      <c r="F12" s="351"/>
    </row>
    <row r="13" spans="1:6" x14ac:dyDescent="0.25">
      <c r="A13" s="19" t="s">
        <v>6</v>
      </c>
      <c r="B13" s="4" t="s">
        <v>16</v>
      </c>
      <c r="C13" s="10">
        <v>0</v>
      </c>
      <c r="D13" s="14">
        <v>8</v>
      </c>
      <c r="E13" s="350">
        <f t="shared" si="0"/>
        <v>0</v>
      </c>
      <c r="F13" s="351"/>
    </row>
    <row r="14" spans="1:6" x14ac:dyDescent="0.25">
      <c r="A14" s="19" t="s">
        <v>39</v>
      </c>
      <c r="B14" s="4" t="s">
        <v>18</v>
      </c>
      <c r="C14" s="31">
        <v>0</v>
      </c>
      <c r="D14" s="14">
        <v>1700000</v>
      </c>
      <c r="E14" s="350">
        <f t="shared" si="0"/>
        <v>0</v>
      </c>
      <c r="F14" s="351"/>
    </row>
    <row r="15" spans="1:6" x14ac:dyDescent="0.25">
      <c r="A15" s="19" t="s">
        <v>7</v>
      </c>
      <c r="B15" s="4" t="s">
        <v>18</v>
      </c>
      <c r="C15" s="31">
        <v>0</v>
      </c>
      <c r="D15" s="14">
        <v>87612</v>
      </c>
      <c r="E15" s="350">
        <f t="shared" si="0"/>
        <v>0</v>
      </c>
      <c r="F15" s="351"/>
    </row>
    <row r="16" spans="1:6" ht="15.75" thickBot="1" x14ac:dyDescent="0.3">
      <c r="A16" s="15" t="s">
        <v>40</v>
      </c>
      <c r="B16" s="5" t="s">
        <v>41</v>
      </c>
      <c r="C16" s="11">
        <v>0</v>
      </c>
      <c r="D16" s="13">
        <v>1400</v>
      </c>
      <c r="E16" s="350">
        <f t="shared" si="0"/>
        <v>0</v>
      </c>
      <c r="F16" s="351"/>
    </row>
    <row r="17" spans="1:6" ht="15.75" thickBot="1" x14ac:dyDescent="0.3">
      <c r="A17" s="1" t="s">
        <v>8</v>
      </c>
      <c r="B17" s="2"/>
      <c r="C17" s="7"/>
      <c r="D17" s="2"/>
      <c r="E17" s="370">
        <f>SUM(E10:F16)</f>
        <v>1</v>
      </c>
      <c r="F17" s="371"/>
    </row>
    <row r="18" spans="1:6" ht="15.75" thickBot="1" x14ac:dyDescent="0.3">
      <c r="A18" s="19" t="s">
        <v>9</v>
      </c>
      <c r="B18" s="4" t="s">
        <v>20</v>
      </c>
      <c r="C18" s="31">
        <v>1</v>
      </c>
      <c r="D18" s="30">
        <v>3000</v>
      </c>
      <c r="E18" s="350">
        <f t="shared" ref="E18" si="1">C18*D18</f>
        <v>3000</v>
      </c>
      <c r="F18" s="351"/>
    </row>
    <row r="19" spans="1:6" ht="15.75" thickBot="1" x14ac:dyDescent="0.3">
      <c r="A19" s="1" t="s">
        <v>10</v>
      </c>
      <c r="B19" s="2"/>
      <c r="C19" s="7"/>
      <c r="D19" s="2"/>
      <c r="E19" s="357">
        <f>SUM(E18:F18)</f>
        <v>3000</v>
      </c>
      <c r="F19" s="358"/>
    </row>
    <row r="20" spans="1:6" ht="15.75" thickBot="1" x14ac:dyDescent="0.3">
      <c r="A20" s="18" t="s">
        <v>11</v>
      </c>
      <c r="B20" s="3"/>
      <c r="C20" s="8"/>
      <c r="D20" s="3"/>
      <c r="E20" s="359">
        <v>1</v>
      </c>
      <c r="F20" s="360"/>
    </row>
    <row r="21" spans="1:6" ht="16.5" x14ac:dyDescent="0.25">
      <c r="A21" s="19" t="s">
        <v>34</v>
      </c>
      <c r="B21" s="4" t="s">
        <v>21</v>
      </c>
      <c r="C21" s="31">
        <v>0</v>
      </c>
      <c r="D21" s="30">
        <v>80000</v>
      </c>
      <c r="E21" s="350">
        <f t="shared" ref="E21:E24" si="2">C21*D21</f>
        <v>0</v>
      </c>
      <c r="F21" s="351"/>
    </row>
    <row r="22" spans="1:6" ht="16.5" x14ac:dyDescent="0.25">
      <c r="A22" s="19" t="s">
        <v>52</v>
      </c>
      <c r="B22" s="4" t="s">
        <v>21</v>
      </c>
      <c r="C22" s="31">
        <v>0</v>
      </c>
      <c r="D22" s="30">
        <v>27630.85</v>
      </c>
      <c r="E22" s="350">
        <f t="shared" si="2"/>
        <v>0</v>
      </c>
      <c r="F22" s="351"/>
    </row>
    <row r="23" spans="1:6" x14ac:dyDescent="0.25">
      <c r="A23" s="19" t="s">
        <v>53</v>
      </c>
      <c r="B23" s="4" t="s">
        <v>54</v>
      </c>
      <c r="C23" s="31">
        <v>0</v>
      </c>
      <c r="D23" s="30">
        <v>248.52</v>
      </c>
      <c r="E23" s="350">
        <f t="shared" si="2"/>
        <v>0</v>
      </c>
      <c r="F23" s="351"/>
    </row>
    <row r="24" spans="1:6" ht="15.75" thickBot="1" x14ac:dyDescent="0.3">
      <c r="A24" s="15" t="s">
        <v>55</v>
      </c>
      <c r="B24" s="5" t="s">
        <v>54</v>
      </c>
      <c r="C24" s="11">
        <v>0</v>
      </c>
      <c r="D24" s="29">
        <v>174.26</v>
      </c>
      <c r="E24" s="350">
        <f t="shared" si="2"/>
        <v>0</v>
      </c>
      <c r="F24" s="351"/>
    </row>
    <row r="25" spans="1:6" ht="15.75" thickBot="1" x14ac:dyDescent="0.3">
      <c r="A25" s="1" t="s">
        <v>12</v>
      </c>
      <c r="B25" s="2"/>
      <c r="C25" s="7"/>
      <c r="D25" s="2"/>
      <c r="E25" s="357">
        <f>SUM(E21:F24)</f>
        <v>0</v>
      </c>
      <c r="F25" s="358"/>
    </row>
    <row r="26" spans="1:6" ht="15.75" thickBot="1" x14ac:dyDescent="0.3">
      <c r="A26" s="18" t="s">
        <v>13</v>
      </c>
      <c r="B26" s="3"/>
      <c r="C26" s="8"/>
      <c r="D26" s="3"/>
      <c r="E26" s="359">
        <v>1</v>
      </c>
      <c r="F26" s="360"/>
    </row>
    <row r="27" spans="1:6" x14ac:dyDescent="0.25">
      <c r="A27" s="19" t="s">
        <v>58</v>
      </c>
      <c r="B27" s="4" t="s">
        <v>16</v>
      </c>
      <c r="C27" s="31">
        <v>2067</v>
      </c>
      <c r="D27" s="30">
        <v>620</v>
      </c>
      <c r="E27" s="350">
        <f t="shared" ref="E27:E31" si="3">C27*D27</f>
        <v>1281540</v>
      </c>
      <c r="F27" s="351"/>
    </row>
    <row r="28" spans="1:6" ht="16.5" x14ac:dyDescent="0.25">
      <c r="A28" s="19" t="s">
        <v>47</v>
      </c>
      <c r="B28" s="4" t="s">
        <v>20</v>
      </c>
      <c r="C28" s="31">
        <v>1</v>
      </c>
      <c r="D28" s="30">
        <v>10000</v>
      </c>
      <c r="E28" s="367">
        <f t="shared" si="3"/>
        <v>10000</v>
      </c>
      <c r="F28" s="351"/>
    </row>
    <row r="29" spans="1:6" x14ac:dyDescent="0.25">
      <c r="A29" s="19" t="s">
        <v>56</v>
      </c>
      <c r="B29" s="4" t="s">
        <v>16</v>
      </c>
      <c r="C29" s="31">
        <v>1000</v>
      </c>
      <c r="D29" s="30">
        <v>60.12</v>
      </c>
      <c r="E29" s="367">
        <f t="shared" si="3"/>
        <v>60120</v>
      </c>
      <c r="F29" s="351"/>
    </row>
    <row r="30" spans="1:6" x14ac:dyDescent="0.25">
      <c r="A30" s="19" t="s">
        <v>45</v>
      </c>
      <c r="B30" s="4" t="s">
        <v>17</v>
      </c>
      <c r="C30" s="31">
        <v>310</v>
      </c>
      <c r="D30" s="30">
        <v>62.57</v>
      </c>
      <c r="E30" s="367">
        <f>C30*D30</f>
        <v>19396.7</v>
      </c>
      <c r="F30" s="351"/>
    </row>
    <row r="31" spans="1:6" ht="15.75" thickBot="1" x14ac:dyDescent="0.3">
      <c r="A31" s="15" t="s">
        <v>46</v>
      </c>
      <c r="B31" s="5" t="s">
        <v>17</v>
      </c>
      <c r="C31" s="11">
        <v>310</v>
      </c>
      <c r="D31" s="29">
        <v>120</v>
      </c>
      <c r="E31" s="350">
        <f t="shared" si="3"/>
        <v>37200</v>
      </c>
      <c r="F31" s="351"/>
    </row>
    <row r="32" spans="1:6" ht="15.75" thickBot="1" x14ac:dyDescent="0.3">
      <c r="A32" s="1" t="s">
        <v>14</v>
      </c>
      <c r="B32" s="2"/>
      <c r="C32" s="7"/>
      <c r="D32" s="2"/>
      <c r="E32" s="357">
        <f>SUM(E27:F31)</f>
        <v>1408256.7</v>
      </c>
      <c r="F32" s="358"/>
    </row>
    <row r="33" spans="1:6" ht="15.75" thickBot="1" x14ac:dyDescent="0.3">
      <c r="A33" s="18" t="s">
        <v>15</v>
      </c>
      <c r="B33" s="23"/>
      <c r="C33" s="23"/>
      <c r="D33" s="23"/>
      <c r="E33" s="372">
        <v>1</v>
      </c>
      <c r="F33" s="373"/>
    </row>
    <row r="34" spans="1:6" x14ac:dyDescent="0.25">
      <c r="A34" s="21" t="s">
        <v>22</v>
      </c>
      <c r="B34" s="4" t="s">
        <v>21</v>
      </c>
      <c r="C34" s="31">
        <v>1</v>
      </c>
      <c r="D34" s="30">
        <v>12500</v>
      </c>
      <c r="E34" s="350">
        <f t="shared" ref="E34:E40" si="4">C34*D34</f>
        <v>12500</v>
      </c>
      <c r="F34" s="351"/>
    </row>
    <row r="35" spans="1:6" x14ac:dyDescent="0.25">
      <c r="A35" s="19" t="s">
        <v>23</v>
      </c>
      <c r="B35" s="4" t="s">
        <v>18</v>
      </c>
      <c r="C35" s="31">
        <v>0.31</v>
      </c>
      <c r="D35" s="30">
        <v>40000</v>
      </c>
      <c r="E35" s="350">
        <f t="shared" si="4"/>
        <v>12400</v>
      </c>
      <c r="F35" s="351"/>
    </row>
    <row r="36" spans="1:6" x14ac:dyDescent="0.25">
      <c r="A36" s="19" t="s">
        <v>24</v>
      </c>
      <c r="B36" s="4" t="s">
        <v>18</v>
      </c>
      <c r="C36" s="31">
        <v>0.31</v>
      </c>
      <c r="D36" s="30">
        <v>75000</v>
      </c>
      <c r="E36" s="350">
        <f t="shared" si="4"/>
        <v>23250</v>
      </c>
      <c r="F36" s="351"/>
    </row>
    <row r="37" spans="1:6" x14ac:dyDescent="0.25">
      <c r="A37" s="19" t="s">
        <v>25</v>
      </c>
      <c r="B37" s="4" t="s">
        <v>21</v>
      </c>
      <c r="C37" s="31">
        <v>7</v>
      </c>
      <c r="D37" s="30">
        <v>1849.71</v>
      </c>
      <c r="E37" s="350">
        <f t="shared" si="4"/>
        <v>12947.970000000001</v>
      </c>
      <c r="F37" s="351"/>
    </row>
    <row r="38" spans="1:6" x14ac:dyDescent="0.25">
      <c r="A38" s="19" t="s">
        <v>26</v>
      </c>
      <c r="B38" s="4" t="s">
        <v>21</v>
      </c>
      <c r="C38" s="31">
        <v>7</v>
      </c>
      <c r="D38" s="30">
        <v>1089.98</v>
      </c>
      <c r="E38" s="350">
        <f t="shared" si="4"/>
        <v>7629.8600000000006</v>
      </c>
      <c r="F38" s="351"/>
    </row>
    <row r="39" spans="1:6" x14ac:dyDescent="0.25">
      <c r="A39" s="19" t="s">
        <v>27</v>
      </c>
      <c r="B39" s="4" t="s">
        <v>21</v>
      </c>
      <c r="C39" s="31">
        <v>6</v>
      </c>
      <c r="D39" s="30">
        <v>737.21</v>
      </c>
      <c r="E39" s="350">
        <f t="shared" si="4"/>
        <v>4423.26</v>
      </c>
      <c r="F39" s="351"/>
    </row>
    <row r="40" spans="1:6" ht="15.75" thickBot="1" x14ac:dyDescent="0.3">
      <c r="A40" s="15" t="s">
        <v>28</v>
      </c>
      <c r="B40" s="5" t="s">
        <v>21</v>
      </c>
      <c r="C40" s="11">
        <v>1</v>
      </c>
      <c r="D40" s="29">
        <v>750</v>
      </c>
      <c r="E40" s="350">
        <f t="shared" si="4"/>
        <v>750</v>
      </c>
      <c r="F40" s="351"/>
    </row>
    <row r="41" spans="1:6" ht="15.75" thickBot="1" x14ac:dyDescent="0.3">
      <c r="A41" s="1" t="s">
        <v>29</v>
      </c>
      <c r="B41" s="2"/>
      <c r="C41" s="7"/>
      <c r="D41" s="2"/>
      <c r="E41" s="357">
        <f>SUM(E34:F40)</f>
        <v>73901.09</v>
      </c>
      <c r="F41" s="358"/>
    </row>
    <row r="42" spans="1:6" ht="15.75" thickBot="1" x14ac:dyDescent="0.3">
      <c r="A42" s="20" t="s">
        <v>42</v>
      </c>
      <c r="B42" s="6"/>
      <c r="C42" s="12"/>
      <c r="D42" s="6"/>
      <c r="E42" s="379"/>
      <c r="F42" s="380"/>
    </row>
    <row r="43" spans="1:6" ht="15.75" thickBot="1" x14ac:dyDescent="0.3">
      <c r="A43" s="25" t="s">
        <v>59</v>
      </c>
      <c r="B43" s="28" t="s">
        <v>20</v>
      </c>
      <c r="C43" s="26">
        <v>1</v>
      </c>
      <c r="D43" s="27">
        <v>60000</v>
      </c>
      <c r="E43" s="381">
        <f t="shared" ref="E43" si="5">C43*D43</f>
        <v>60000</v>
      </c>
      <c r="F43" s="382"/>
    </row>
    <row r="44" spans="1:6" ht="15.75" thickBot="1" x14ac:dyDescent="0.3">
      <c r="A44" s="22" t="s">
        <v>36</v>
      </c>
      <c r="B44" s="22"/>
      <c r="C44" s="22"/>
      <c r="D44" s="22"/>
      <c r="E44" s="374">
        <f>SUM(E42:F43)</f>
        <v>60000</v>
      </c>
      <c r="F44" s="375"/>
    </row>
    <row r="45" spans="1:6" ht="15.75" thickBot="1" x14ac:dyDescent="0.3">
      <c r="A45" s="353" t="s">
        <v>33</v>
      </c>
      <c r="B45" s="376"/>
      <c r="C45" s="376"/>
      <c r="D45" s="354"/>
      <c r="E45" s="377">
        <f>SUM(E4,E9,E17,E19,E25,E32,E41,E43)</f>
        <v>1547158.79</v>
      </c>
      <c r="F45" s="354"/>
    </row>
    <row r="47" spans="1:6" x14ac:dyDescent="0.25">
      <c r="C47" s="378" t="s">
        <v>38</v>
      </c>
      <c r="D47" s="378"/>
      <c r="E47" s="378"/>
      <c r="F47" s="378"/>
    </row>
  </sheetData>
  <mergeCells count="50">
    <mergeCell ref="E44:F44"/>
    <mergeCell ref="A45:D45"/>
    <mergeCell ref="E45:F45"/>
    <mergeCell ref="C47:F47"/>
    <mergeCell ref="E38:F38"/>
    <mergeCell ref="E39:F39"/>
    <mergeCell ref="E40:F40"/>
    <mergeCell ref="E41:F41"/>
    <mergeCell ref="E42:F42"/>
    <mergeCell ref="E43:F43"/>
    <mergeCell ref="E37:F37"/>
    <mergeCell ref="E26:F26"/>
    <mergeCell ref="E27:F27"/>
    <mergeCell ref="E28:F28"/>
    <mergeCell ref="E29:F29"/>
    <mergeCell ref="E30:F30"/>
    <mergeCell ref="E31:F31"/>
    <mergeCell ref="E32:F32"/>
    <mergeCell ref="E33:F33"/>
    <mergeCell ref="E34:F34"/>
    <mergeCell ref="E35:F35"/>
    <mergeCell ref="E36:F36"/>
    <mergeCell ref="E25:F25"/>
    <mergeCell ref="E14:F14"/>
    <mergeCell ref="E15:F15"/>
    <mergeCell ref="E16:F16"/>
    <mergeCell ref="E17:F17"/>
    <mergeCell ref="E18:F18"/>
    <mergeCell ref="E19:F19"/>
    <mergeCell ref="E20:F20"/>
    <mergeCell ref="E21:F21"/>
    <mergeCell ref="E22:F22"/>
    <mergeCell ref="E23:F23"/>
    <mergeCell ref="E24:F24"/>
    <mergeCell ref="E13:F13"/>
    <mergeCell ref="A1:F1"/>
    <mergeCell ref="E2:F2"/>
    <mergeCell ref="E3:F3"/>
    <mergeCell ref="E4:F4"/>
    <mergeCell ref="E5:F5"/>
    <mergeCell ref="A6:A7"/>
    <mergeCell ref="B6:B7"/>
    <mergeCell ref="C6:C7"/>
    <mergeCell ref="D6:D7"/>
    <mergeCell ref="E6:F7"/>
    <mergeCell ref="E8:F8"/>
    <mergeCell ref="E9:F9"/>
    <mergeCell ref="E10:F10"/>
    <mergeCell ref="E11:F11"/>
    <mergeCell ref="E12:F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M73"/>
  <sheetViews>
    <sheetView view="pageBreakPreview" zoomScale="130" zoomScaleNormal="130" zoomScaleSheetLayoutView="130" workbookViewId="0">
      <pane ySplit="2" topLeftCell="A24" activePane="bottomLeft" state="frozen"/>
      <selection pane="bottomLeft" activeCell="E13" sqref="E13:F13"/>
    </sheetView>
  </sheetViews>
  <sheetFormatPr defaultRowHeight="15" x14ac:dyDescent="0.25"/>
  <cols>
    <col min="1" max="1" width="51.42578125" customWidth="1"/>
    <col min="3" max="3" width="7.85546875" customWidth="1"/>
    <col min="4" max="4" width="10.5703125" customWidth="1"/>
    <col min="5" max="5" width="5" customWidth="1"/>
    <col min="7" max="7" width="15.85546875" customWidth="1"/>
    <col min="8" max="8" width="9.140625" style="109"/>
    <col min="9" max="9" width="9.85546875" style="109" bestFit="1" customWidth="1"/>
  </cols>
  <sheetData>
    <row r="1" spans="1:12" x14ac:dyDescent="0.25">
      <c r="A1" s="297" t="s">
        <v>65</v>
      </c>
      <c r="B1" s="297"/>
      <c r="C1" s="297"/>
      <c r="D1" s="297"/>
      <c r="E1" s="297"/>
      <c r="F1" s="297"/>
    </row>
    <row r="2" spans="1:12" s="36" customFormat="1" ht="27.75" customHeight="1" x14ac:dyDescent="0.2">
      <c r="A2" s="46" t="s">
        <v>37</v>
      </c>
      <c r="B2" s="46" t="s">
        <v>31</v>
      </c>
      <c r="C2" s="46" t="s">
        <v>32</v>
      </c>
      <c r="D2" s="46" t="s">
        <v>35</v>
      </c>
      <c r="E2" s="298" t="s">
        <v>95</v>
      </c>
      <c r="F2" s="298"/>
      <c r="G2" s="79">
        <f>E67</f>
        <v>2490865.5100000002</v>
      </c>
      <c r="H2" s="106" t="s">
        <v>167</v>
      </c>
      <c r="I2" s="106"/>
    </row>
    <row r="3" spans="1:12" s="36" customFormat="1" ht="11.25" customHeight="1" x14ac:dyDescent="0.2">
      <c r="A3" s="38" t="s">
        <v>48</v>
      </c>
      <c r="B3" s="41"/>
      <c r="C3" s="41"/>
      <c r="D3" s="41"/>
      <c r="E3" s="277"/>
      <c r="F3" s="277"/>
      <c r="H3" s="106"/>
      <c r="I3" s="106"/>
    </row>
    <row r="4" spans="1:12" s="36" customFormat="1" ht="11.25" x14ac:dyDescent="0.2">
      <c r="A4" s="47" t="s">
        <v>48</v>
      </c>
      <c r="B4" s="42" t="s">
        <v>20</v>
      </c>
      <c r="C4" s="43">
        <v>1</v>
      </c>
      <c r="D4" s="44">
        <v>2000</v>
      </c>
      <c r="E4" s="285">
        <f>C4*D4</f>
        <v>2000</v>
      </c>
      <c r="F4" s="285"/>
      <c r="H4" s="120">
        <f>'Rybnik Niedobczyce (RCO)'!$A$24</f>
        <v>1</v>
      </c>
      <c r="I4" s="106"/>
    </row>
    <row r="5" spans="1:12" s="36" customFormat="1" ht="11.25" x14ac:dyDescent="0.2">
      <c r="A5" s="49" t="str">
        <f>CONCATENATE(A3,"  ŁĄCZNIE")</f>
        <v>Przygotowanie placu budowy  ŁĄCZNIE</v>
      </c>
      <c r="B5" s="48"/>
      <c r="C5" s="48"/>
      <c r="D5" s="48"/>
      <c r="E5" s="272">
        <f>SUM(E4)</f>
        <v>2000</v>
      </c>
      <c r="F5" s="272"/>
      <c r="H5" s="106"/>
      <c r="I5" s="106"/>
    </row>
    <row r="6" spans="1:12" s="36" customFormat="1" ht="11.25" x14ac:dyDescent="0.2">
      <c r="A6" s="38" t="s">
        <v>71</v>
      </c>
      <c r="B6" s="41"/>
      <c r="C6" s="41"/>
      <c r="D6" s="41"/>
      <c r="E6" s="277"/>
      <c r="F6" s="277"/>
      <c r="H6" s="106"/>
      <c r="I6" s="106"/>
    </row>
    <row r="7" spans="1:12" s="36" customFormat="1" ht="16.5" customHeight="1" x14ac:dyDescent="0.2">
      <c r="A7" s="289" t="s">
        <v>153</v>
      </c>
      <c r="B7" s="291" t="s">
        <v>20</v>
      </c>
      <c r="C7" s="292">
        <v>1</v>
      </c>
      <c r="D7" s="293">
        <f>596411.47*220/454*0.8</f>
        <v>231207.97074889869</v>
      </c>
      <c r="E7" s="285">
        <f>C7*D7</f>
        <v>231207.97074889869</v>
      </c>
      <c r="F7" s="285"/>
      <c r="G7" s="296" t="s">
        <v>67</v>
      </c>
      <c r="H7" s="120">
        <f>'Rybnik Niedobczyce (RCO)'!$A$24</f>
        <v>1</v>
      </c>
      <c r="I7" s="120">
        <v>6</v>
      </c>
    </row>
    <row r="8" spans="1:12" s="36" customFormat="1" ht="17.25" customHeight="1" x14ac:dyDescent="0.2">
      <c r="A8" s="290"/>
      <c r="B8" s="291"/>
      <c r="C8" s="292"/>
      <c r="D8" s="293"/>
      <c r="E8" s="285"/>
      <c r="F8" s="285"/>
      <c r="G8" s="296"/>
      <c r="H8" s="106"/>
      <c r="I8" s="106"/>
    </row>
    <row r="9" spans="1:12" s="36" customFormat="1" ht="25.5" customHeight="1" x14ac:dyDescent="0.2">
      <c r="A9" s="102" t="s">
        <v>145</v>
      </c>
      <c r="B9" s="42" t="s">
        <v>16</v>
      </c>
      <c r="C9" s="91">
        <f>6*10+1.5*5+2.5</f>
        <v>70</v>
      </c>
      <c r="D9" s="89">
        <v>80</v>
      </c>
      <c r="E9" s="285">
        <f t="shared" ref="E9" si="0">C9*D9</f>
        <v>5600</v>
      </c>
      <c r="F9" s="285"/>
      <c r="G9" s="40"/>
      <c r="H9" s="120">
        <f>'Rybnik Niedobczyce (RCO)'!$A$30</f>
        <v>4</v>
      </c>
      <c r="I9" s="106"/>
    </row>
    <row r="10" spans="1:12" s="36" customFormat="1" ht="11.25" x14ac:dyDescent="0.2">
      <c r="A10" s="39" t="s">
        <v>70</v>
      </c>
      <c r="B10" s="42" t="s">
        <v>20</v>
      </c>
      <c r="C10" s="91">
        <v>1</v>
      </c>
      <c r="D10" s="89">
        <f>8*500+4*250+1*2000</f>
        <v>7000</v>
      </c>
      <c r="E10" s="285">
        <f>C10*D10</f>
        <v>7000</v>
      </c>
      <c r="F10" s="285"/>
      <c r="H10" s="120">
        <f>'Rybnik Niedobczyce (RCO)'!$A$26</f>
        <v>2</v>
      </c>
      <c r="I10" s="106"/>
    </row>
    <row r="11" spans="1:12" s="36" customFormat="1" ht="11.25" x14ac:dyDescent="0.2">
      <c r="A11" s="47" t="s">
        <v>79</v>
      </c>
      <c r="B11" s="42" t="s">
        <v>20</v>
      </c>
      <c r="C11" s="43">
        <v>1</v>
      </c>
      <c r="D11" s="44">
        <v>10000</v>
      </c>
      <c r="E11" s="294">
        <f t="shared" ref="E11:E12" si="1">C11*D11</f>
        <v>10000</v>
      </c>
      <c r="F11" s="295"/>
      <c r="H11" s="120">
        <f>'Rybnik Niedobczyce (RCO)'!$A$34</f>
        <v>6</v>
      </c>
      <c r="I11" s="120">
        <f>'Rybnik Niedobczyce (RCO)'!$A$24</f>
        <v>1</v>
      </c>
      <c r="J11" s="36">
        <f>225*2.5</f>
        <v>562.5</v>
      </c>
      <c r="K11" s="148">
        <f>C9</f>
        <v>70</v>
      </c>
      <c r="L11" s="149">
        <f>_xlfn.CEILING.MATH(K11/J11,0.01)</f>
        <v>0.13</v>
      </c>
    </row>
    <row r="12" spans="1:12" s="36" customFormat="1" ht="11.25" x14ac:dyDescent="0.2">
      <c r="A12" s="47" t="s">
        <v>146</v>
      </c>
      <c r="B12" s="42" t="s">
        <v>20</v>
      </c>
      <c r="C12" s="43">
        <v>1</v>
      </c>
      <c r="D12" s="44">
        <v>20000</v>
      </c>
      <c r="E12" s="285">
        <f t="shared" si="1"/>
        <v>20000</v>
      </c>
      <c r="F12" s="285"/>
      <c r="H12" s="120">
        <f>'Rybnik Niedobczyce (RCO)'!$A$34</f>
        <v>6</v>
      </c>
      <c r="I12" s="120">
        <f>'Rybnik Niedobczyce (RCO)'!$A$24</f>
        <v>1</v>
      </c>
      <c r="L12" s="149">
        <f>L11</f>
        <v>0.13</v>
      </c>
    </row>
    <row r="13" spans="1:12" s="36" customFormat="1" ht="11.25" x14ac:dyDescent="0.2">
      <c r="A13" s="49" t="str">
        <f>CONCATENATE(A6,"  ŁĄCZNIE")</f>
        <v>Roboty rozbiórkowe peronu  ŁĄCZNIE</v>
      </c>
      <c r="B13" s="48"/>
      <c r="C13" s="48"/>
      <c r="D13" s="48"/>
      <c r="E13" s="272">
        <f>SUM(E7:F12)</f>
        <v>273807.97074889869</v>
      </c>
      <c r="F13" s="272"/>
      <c r="H13" s="106"/>
      <c r="I13" s="106"/>
    </row>
    <row r="14" spans="1:12" s="36" customFormat="1" ht="11.25" x14ac:dyDescent="0.2">
      <c r="A14" s="38" t="s">
        <v>3</v>
      </c>
      <c r="B14" s="41"/>
      <c r="C14" s="41"/>
      <c r="D14" s="41"/>
      <c r="E14" s="277"/>
      <c r="F14" s="277"/>
      <c r="G14" s="36" t="s">
        <v>68</v>
      </c>
      <c r="H14" s="110"/>
      <c r="I14" s="106"/>
    </row>
    <row r="15" spans="1:12" s="36" customFormat="1" ht="45" x14ac:dyDescent="0.2">
      <c r="A15" s="103" t="s">
        <v>159</v>
      </c>
      <c r="B15" s="51" t="s">
        <v>17</v>
      </c>
      <c r="C15" s="93">
        <f>(3.05*0.6)*220</f>
        <v>402.59999999999997</v>
      </c>
      <c r="D15" s="94">
        <v>59.06</v>
      </c>
      <c r="E15" s="288">
        <f>C15*D15</f>
        <v>23777.556</v>
      </c>
      <c r="F15" s="288"/>
      <c r="G15" s="54"/>
      <c r="H15" s="114">
        <f>'Rybnik Niedobczyce (RCO)'!A8</f>
        <v>1</v>
      </c>
      <c r="I15" s="106">
        <f>'Rybnik Niedobczyce (RCO)'!A16</f>
        <v>5</v>
      </c>
    </row>
    <row r="16" spans="1:12" s="36" customFormat="1" ht="45" x14ac:dyDescent="0.2">
      <c r="A16" s="100" t="s">
        <v>160</v>
      </c>
      <c r="B16" s="42" t="s">
        <v>18</v>
      </c>
      <c r="C16" s="90">
        <f>0.225</f>
        <v>0.22500000000000001</v>
      </c>
      <c r="D16" s="89">
        <v>149702.95145631069</v>
      </c>
      <c r="E16" s="285">
        <f>C16*D16</f>
        <v>33683.164077669906</v>
      </c>
      <c r="F16" s="285"/>
      <c r="G16" s="36" t="s">
        <v>73</v>
      </c>
      <c r="H16" s="110">
        <f>'Rybnik Niedobczyce (RCO)'!A8</f>
        <v>1</v>
      </c>
      <c r="I16" s="106"/>
    </row>
    <row r="17" spans="1:13" s="36" customFormat="1" ht="78.75" x14ac:dyDescent="0.2">
      <c r="A17" s="100" t="s">
        <v>152</v>
      </c>
      <c r="B17" s="51" t="s">
        <v>17</v>
      </c>
      <c r="C17" s="91">
        <f>C15</f>
        <v>402.59999999999997</v>
      </c>
      <c r="D17" s="89">
        <v>223.5</v>
      </c>
      <c r="E17" s="285">
        <f t="shared" ref="E17:E21" si="2">C17*D17</f>
        <v>89981.099999999991</v>
      </c>
      <c r="F17" s="285"/>
      <c r="H17" s="110">
        <f>'Rybnik Niedobczyce (RCO)'!A12</f>
        <v>3</v>
      </c>
      <c r="I17" s="106"/>
    </row>
    <row r="18" spans="1:13" s="36" customFormat="1" ht="11.25" x14ac:dyDescent="0.2">
      <c r="A18" s="47" t="s">
        <v>6</v>
      </c>
      <c r="B18" s="42" t="s">
        <v>16</v>
      </c>
      <c r="C18" s="91">
        <f>3.5*225</f>
        <v>787.5</v>
      </c>
      <c r="D18" s="89">
        <v>8</v>
      </c>
      <c r="E18" s="285">
        <f t="shared" si="2"/>
        <v>6300</v>
      </c>
      <c r="F18" s="285"/>
      <c r="H18" s="110">
        <f>'Rybnik Niedobczyce (RCO)'!A8</f>
        <v>1</v>
      </c>
      <c r="I18" s="106"/>
    </row>
    <row r="19" spans="1:13" s="36" customFormat="1" ht="67.5" x14ac:dyDescent="0.2">
      <c r="A19" s="101" t="s">
        <v>156</v>
      </c>
      <c r="B19" s="42" t="s">
        <v>118</v>
      </c>
      <c r="C19" s="90">
        <f>0.225*1000</f>
        <v>225</v>
      </c>
      <c r="D19" s="89">
        <f>3312532/1000</f>
        <v>3312.5320000000002</v>
      </c>
      <c r="E19" s="285">
        <f t="shared" si="2"/>
        <v>745319.70000000007</v>
      </c>
      <c r="F19" s="285"/>
      <c r="G19" s="36" t="s">
        <v>74</v>
      </c>
      <c r="H19" s="106">
        <f>'Rybnik Niedobczyce (RCO)'!A8</f>
        <v>1</v>
      </c>
      <c r="I19" s="106">
        <f>'Rybnik Niedobczyce (RCO)'!A10</f>
        <v>2</v>
      </c>
      <c r="J19" s="106">
        <v>6</v>
      </c>
    </row>
    <row r="20" spans="1:13" s="36" customFormat="1" ht="11.25" x14ac:dyDescent="0.2">
      <c r="A20" s="47" t="s">
        <v>157</v>
      </c>
      <c r="B20" s="42" t="s">
        <v>18</v>
      </c>
      <c r="C20" s="92">
        <f>C19/1000</f>
        <v>0.22500000000000001</v>
      </c>
      <c r="D20" s="89">
        <v>90000</v>
      </c>
      <c r="E20" s="285">
        <f t="shared" si="2"/>
        <v>20250</v>
      </c>
      <c r="F20" s="285"/>
      <c r="H20" s="106">
        <f>'Rybnik Niedobczyce (RCO)'!A14</f>
        <v>4</v>
      </c>
      <c r="I20" s="106"/>
    </row>
    <row r="21" spans="1:13" s="36" customFormat="1" ht="11.25" x14ac:dyDescent="0.2">
      <c r="A21" s="47" t="s">
        <v>62</v>
      </c>
      <c r="B21" s="42" t="s">
        <v>20</v>
      </c>
      <c r="C21" s="91">
        <v>1</v>
      </c>
      <c r="D21" s="89">
        <v>60000</v>
      </c>
      <c r="E21" s="285">
        <f t="shared" si="2"/>
        <v>60000</v>
      </c>
      <c r="F21" s="285"/>
      <c r="H21" s="106">
        <f>'Rybnik Niedobczyce (RCO)'!A20</f>
        <v>7</v>
      </c>
      <c r="I21" s="106"/>
    </row>
    <row r="22" spans="1:13" s="36" customFormat="1" ht="11.25" x14ac:dyDescent="0.2">
      <c r="A22" s="49" t="str">
        <f>CONCATENATE(A14,"  ŁĄCZNIE")</f>
        <v>Torowisko wraz z podtorzem  ŁĄCZNIE</v>
      </c>
      <c r="B22" s="48"/>
      <c r="C22" s="48"/>
      <c r="D22" s="48"/>
      <c r="E22" s="272">
        <f>SUM(E15:F21)</f>
        <v>979311.52007766999</v>
      </c>
      <c r="F22" s="272"/>
      <c r="H22" s="106"/>
      <c r="I22" s="106"/>
    </row>
    <row r="23" spans="1:13" s="36" customFormat="1" ht="11.25" x14ac:dyDescent="0.2">
      <c r="A23" s="38" t="s">
        <v>85</v>
      </c>
      <c r="B23" s="41"/>
      <c r="C23" s="41"/>
      <c r="D23" s="41"/>
      <c r="E23" s="277"/>
      <c r="F23" s="277"/>
      <c r="H23" s="106"/>
      <c r="I23" s="106"/>
    </row>
    <row r="24" spans="1:13" s="36" customFormat="1" ht="45" customHeight="1" x14ac:dyDescent="0.2">
      <c r="A24" s="100" t="s">
        <v>154</v>
      </c>
      <c r="B24" s="42" t="s">
        <v>20</v>
      </c>
      <c r="C24" s="56">
        <v>2</v>
      </c>
      <c r="D24" s="44">
        <v>3000</v>
      </c>
      <c r="E24" s="285">
        <f t="shared" ref="E24" si="3">C24*D24</f>
        <v>6000</v>
      </c>
      <c r="F24" s="285"/>
      <c r="H24" s="120">
        <f>'Rybnik Niedobczyce (RCO)'!$A$26</f>
        <v>2</v>
      </c>
      <c r="I24" s="106"/>
    </row>
    <row r="25" spans="1:13" s="36" customFormat="1" ht="11.25" x14ac:dyDescent="0.2">
      <c r="A25" s="49" t="str">
        <f>CONCATENATE(A23,"  ŁĄCZNIE")</f>
        <v>Oznakowanie, sygnalizacje, sterowanie  ŁĄCZNIE</v>
      </c>
      <c r="B25" s="48"/>
      <c r="C25" s="48"/>
      <c r="D25" s="48"/>
      <c r="E25" s="272">
        <f>SUM(E24:F24)</f>
        <v>6000</v>
      </c>
      <c r="F25" s="272"/>
      <c r="H25" s="106"/>
      <c r="I25" s="106"/>
    </row>
    <row r="26" spans="1:13" s="36" customFormat="1" ht="12" thickBot="1" x14ac:dyDescent="0.25">
      <c r="A26" s="38" t="s">
        <v>84</v>
      </c>
      <c r="B26" s="41"/>
      <c r="C26" s="41"/>
      <c r="D26" s="41"/>
      <c r="E26" s="277"/>
      <c r="F26" s="277"/>
      <c r="H26" s="106"/>
      <c r="I26" s="106"/>
    </row>
    <row r="27" spans="1:13" s="36" customFormat="1" ht="228.75" customHeight="1" thickBot="1" x14ac:dyDescent="0.25">
      <c r="A27" s="47" t="s">
        <v>155</v>
      </c>
      <c r="B27" s="42" t="s">
        <v>16</v>
      </c>
      <c r="C27" s="90">
        <f>150*3</f>
        <v>450</v>
      </c>
      <c r="D27" s="89">
        <v>1489.99</v>
      </c>
      <c r="E27" s="271">
        <f t="shared" ref="E27:E29" si="4">C27*D27</f>
        <v>670495.5</v>
      </c>
      <c r="F27" s="271"/>
      <c r="G27" s="36" t="s">
        <v>76</v>
      </c>
      <c r="H27" s="120">
        <f>'Rybnik Niedobczyce (RCO)'!$A$24</f>
        <v>1</v>
      </c>
      <c r="I27" s="79"/>
      <c r="L27" s="286"/>
      <c r="M27" s="287"/>
    </row>
    <row r="28" spans="1:13" s="36" customFormat="1" ht="22.5" x14ac:dyDescent="0.2">
      <c r="A28" s="100" t="s">
        <v>148</v>
      </c>
      <c r="B28" s="42" t="s">
        <v>44</v>
      </c>
      <c r="C28" s="90">
        <f>150+2*15</f>
        <v>180</v>
      </c>
      <c r="D28" s="89">
        <v>150</v>
      </c>
      <c r="E28" s="271">
        <f t="shared" si="4"/>
        <v>27000</v>
      </c>
      <c r="F28" s="271"/>
      <c r="H28" s="120">
        <f>'Rybnik Niedobczyce (RCO)'!$A$28</f>
        <v>3</v>
      </c>
      <c r="I28" s="106"/>
    </row>
    <row r="29" spans="1:13" s="36" customFormat="1" ht="22.5" x14ac:dyDescent="0.2">
      <c r="A29" s="47" t="s">
        <v>77</v>
      </c>
      <c r="B29" s="42" t="s">
        <v>20</v>
      </c>
      <c r="C29" s="90">
        <v>1</v>
      </c>
      <c r="D29" s="89">
        <f>_xlfn.CEILING.MATH((30000+2*5000+10*50+2*3500+2*1700+2*1200+2*2000+2*1200+2*1200+2500+2000),5000)</f>
        <v>70000</v>
      </c>
      <c r="E29" s="271">
        <f t="shared" si="4"/>
        <v>70000</v>
      </c>
      <c r="F29" s="271"/>
      <c r="H29" s="120">
        <f>'Rybnik Niedobczyce (RCO)'!$A$26</f>
        <v>2</v>
      </c>
      <c r="I29" s="106"/>
    </row>
    <row r="30" spans="1:13" s="36" customFormat="1" ht="11.25" x14ac:dyDescent="0.2">
      <c r="A30" s="49" t="str">
        <f>CONCATENATE(A26,"  ŁĄCZNIE")</f>
        <v>Peron  ŁĄCZNIE</v>
      </c>
      <c r="B30" s="48"/>
      <c r="C30" s="48"/>
      <c r="D30" s="48"/>
      <c r="E30" s="272">
        <f>SUM(E27:F29)</f>
        <v>767495.5</v>
      </c>
      <c r="F30" s="272"/>
      <c r="H30" s="106"/>
      <c r="I30" s="106"/>
    </row>
    <row r="31" spans="1:13" s="36" customFormat="1" ht="23.25" thickBot="1" x14ac:dyDescent="0.25">
      <c r="A31" s="38" t="s">
        <v>82</v>
      </c>
      <c r="B31" s="41"/>
      <c r="C31" s="41"/>
      <c r="D31" s="41"/>
      <c r="E31" s="277"/>
      <c r="F31" s="277"/>
      <c r="H31" s="79"/>
      <c r="I31" s="106"/>
    </row>
    <row r="32" spans="1:13" s="36" customFormat="1" ht="12" thickBot="1" x14ac:dyDescent="0.25">
      <c r="A32" s="47" t="s">
        <v>80</v>
      </c>
      <c r="B32" s="42" t="s">
        <v>19</v>
      </c>
      <c r="C32" s="90">
        <f>C34*0.5</f>
        <v>96</v>
      </c>
      <c r="D32" s="44">
        <v>305.11866785714284</v>
      </c>
      <c r="E32" s="271">
        <f t="shared" ref="E32:E35" si="5">C32*D32</f>
        <v>29291.392114285714</v>
      </c>
      <c r="F32" s="271"/>
      <c r="G32" s="36" t="s">
        <v>76</v>
      </c>
      <c r="H32" s="120">
        <f>'Rybnik Niedobczyce (RCO)'!$A$32</f>
        <v>5</v>
      </c>
      <c r="I32" s="106"/>
      <c r="L32" s="286"/>
      <c r="M32" s="287"/>
    </row>
    <row r="33" spans="1:10" s="36" customFormat="1" ht="22.5" x14ac:dyDescent="0.2">
      <c r="A33" s="100" t="s">
        <v>149</v>
      </c>
      <c r="B33" s="42" t="s">
        <v>44</v>
      </c>
      <c r="C33" s="90">
        <f>17*2</f>
        <v>34</v>
      </c>
      <c r="D33" s="44">
        <v>490.14601941747571</v>
      </c>
      <c r="E33" s="271">
        <f t="shared" si="5"/>
        <v>16664.964660194175</v>
      </c>
      <c r="F33" s="271"/>
      <c r="G33" s="36" t="s">
        <v>76</v>
      </c>
      <c r="H33" s="120">
        <f>'Rybnik Niedobczyce (RCO)'!$A$32</f>
        <v>5</v>
      </c>
      <c r="I33" s="106"/>
    </row>
    <row r="34" spans="1:10" s="36" customFormat="1" ht="151.5" customHeight="1" x14ac:dyDescent="0.2">
      <c r="A34" s="100" t="s">
        <v>150</v>
      </c>
      <c r="B34" s="42" t="s">
        <v>54</v>
      </c>
      <c r="C34" s="90">
        <f>20*6+4*2+15*2+(C33/2)*2</f>
        <v>192</v>
      </c>
      <c r="D34" s="44">
        <v>118.13291000000001</v>
      </c>
      <c r="E34" s="271">
        <f t="shared" si="5"/>
        <v>22681.51872</v>
      </c>
      <c r="F34" s="271"/>
      <c r="G34" s="36" t="s">
        <v>76</v>
      </c>
      <c r="H34" s="120">
        <f>'Rybnik Niedobczyce (RCO)'!$A$32</f>
        <v>5</v>
      </c>
      <c r="I34" s="106"/>
    </row>
    <row r="35" spans="1:10" s="36" customFormat="1" ht="22.5" x14ac:dyDescent="0.2">
      <c r="A35" s="100" t="s">
        <v>147</v>
      </c>
      <c r="B35" s="42" t="s">
        <v>44</v>
      </c>
      <c r="C35" s="90">
        <v>40</v>
      </c>
      <c r="D35" s="44">
        <v>200</v>
      </c>
      <c r="E35" s="271">
        <f t="shared" si="5"/>
        <v>8000</v>
      </c>
      <c r="F35" s="271"/>
      <c r="G35" s="36" t="s">
        <v>83</v>
      </c>
      <c r="H35" s="120">
        <f>'Rybnik Niedobczyce (RCO)'!$A$32</f>
        <v>5</v>
      </c>
      <c r="I35" s="106"/>
    </row>
    <row r="36" spans="1:10" s="36" customFormat="1" ht="24.95" customHeight="1" x14ac:dyDescent="0.2">
      <c r="A36" s="49" t="str">
        <f>CONCATENATE(A31,"  ŁĄCZNIE")</f>
        <v>Pochylnie, chodniki, drogi dojścia, wraz z zabudową dodatowych ogrodzeń,  labiryntów, barierek  ŁĄCZNIE</v>
      </c>
      <c r="B36" s="48"/>
      <c r="C36" s="48"/>
      <c r="D36" s="48"/>
      <c r="E36" s="272">
        <f>SUM(E32:F35)</f>
        <v>76637.8754944799</v>
      </c>
      <c r="F36" s="272"/>
      <c r="H36" s="106"/>
      <c r="I36" s="106"/>
    </row>
    <row r="37" spans="1:10" s="36" customFormat="1" ht="11.25" customHeight="1" x14ac:dyDescent="0.2">
      <c r="A37" s="38" t="s">
        <v>88</v>
      </c>
      <c r="B37" s="41"/>
      <c r="C37" s="41"/>
      <c r="D37" s="41"/>
      <c r="E37" s="277"/>
      <c r="F37" s="277"/>
      <c r="H37" s="106"/>
      <c r="I37" s="106"/>
    </row>
    <row r="38" spans="1:10" s="36" customFormat="1" ht="144.75" customHeight="1" x14ac:dyDescent="0.2">
      <c r="A38" s="47" t="s">
        <v>158</v>
      </c>
      <c r="B38" s="42" t="s">
        <v>20</v>
      </c>
      <c r="C38" s="56">
        <v>1</v>
      </c>
      <c r="D38" s="44">
        <v>82000</v>
      </c>
      <c r="E38" s="271">
        <f t="shared" ref="E38:E39" si="6">C38*D38</f>
        <v>82000</v>
      </c>
      <c r="F38" s="271"/>
      <c r="G38" s="58" t="s">
        <v>90</v>
      </c>
      <c r="H38" s="106"/>
      <c r="I38" s="106"/>
    </row>
    <row r="39" spans="1:10" s="36" customFormat="1" ht="33.75" customHeight="1" x14ac:dyDescent="0.2">
      <c r="A39" s="47" t="s">
        <v>144</v>
      </c>
      <c r="B39" s="95" t="s">
        <v>20</v>
      </c>
      <c r="C39" s="99">
        <v>1</v>
      </c>
      <c r="D39" s="97">
        <v>10000</v>
      </c>
      <c r="E39" s="271">
        <f t="shared" si="6"/>
        <v>10000</v>
      </c>
      <c r="F39" s="271"/>
      <c r="G39" s="58" t="s">
        <v>90</v>
      </c>
      <c r="H39" s="106"/>
      <c r="I39" s="106"/>
    </row>
    <row r="40" spans="1:10" s="36" customFormat="1" ht="11.25" customHeight="1" x14ac:dyDescent="0.2">
      <c r="A40" s="49" t="str">
        <f>CONCATENATE(A37,"  ŁĄCZNIE")</f>
        <v>Branża elektroenergetyczna  ŁĄCZNIE</v>
      </c>
      <c r="B40" s="48"/>
      <c r="C40" s="48"/>
      <c r="D40" s="48"/>
      <c r="E40" s="272">
        <f>SUM(E38:F39)</f>
        <v>92000</v>
      </c>
      <c r="F40" s="272"/>
      <c r="H40" s="106"/>
      <c r="I40" s="106"/>
    </row>
    <row r="41" spans="1:10" s="36" customFormat="1" ht="11.25" customHeight="1" x14ac:dyDescent="0.2">
      <c r="A41" s="38" t="s">
        <v>91</v>
      </c>
      <c r="B41" s="41"/>
      <c r="C41" s="41"/>
      <c r="D41" s="41"/>
      <c r="E41" s="277"/>
      <c r="F41" s="277"/>
      <c r="H41" s="106"/>
      <c r="I41" s="106"/>
    </row>
    <row r="42" spans="1:10" s="36" customFormat="1" ht="11.25" customHeight="1" x14ac:dyDescent="0.2">
      <c r="A42" s="47" t="s">
        <v>92</v>
      </c>
      <c r="B42" s="42" t="s">
        <v>20</v>
      </c>
      <c r="C42" s="56">
        <v>1</v>
      </c>
      <c r="D42" s="89">
        <v>55000</v>
      </c>
      <c r="E42" s="271">
        <f t="shared" ref="E42:E43" si="7">C42*D42</f>
        <v>55000</v>
      </c>
      <c r="F42" s="271"/>
      <c r="G42" s="58" t="s">
        <v>93</v>
      </c>
      <c r="H42" s="106"/>
      <c r="I42" s="106"/>
    </row>
    <row r="43" spans="1:10" s="36" customFormat="1" ht="11.25" customHeight="1" x14ac:dyDescent="0.2">
      <c r="A43" s="47" t="s">
        <v>94</v>
      </c>
      <c r="B43" s="42" t="s">
        <v>20</v>
      </c>
      <c r="C43" s="56">
        <v>1</v>
      </c>
      <c r="D43" s="89">
        <v>15000</v>
      </c>
      <c r="E43" s="271">
        <f t="shared" si="7"/>
        <v>15000</v>
      </c>
      <c r="F43" s="271"/>
      <c r="G43" s="58" t="s">
        <v>93</v>
      </c>
      <c r="H43" s="106"/>
      <c r="I43" s="106"/>
    </row>
    <row r="44" spans="1:10" s="36" customFormat="1" ht="11.25" customHeight="1" x14ac:dyDescent="0.2">
      <c r="A44" s="49" t="str">
        <f>CONCATENATE(A41,"  ŁĄCZNIE")</f>
        <v>Branża telekomunikacji i automatyki  ŁĄCZNIE</v>
      </c>
      <c r="B44" s="48"/>
      <c r="C44" s="48"/>
      <c r="D44" s="48"/>
      <c r="E44" s="272">
        <f>SUM(E42:F43)</f>
        <v>70000</v>
      </c>
      <c r="F44" s="272"/>
      <c r="G44" s="58"/>
      <c r="H44" s="106"/>
      <c r="I44" s="106"/>
      <c r="J44" s="174"/>
    </row>
    <row r="45" spans="1:10" s="36" customFormat="1" ht="11.25" customHeight="1" x14ac:dyDescent="0.2">
      <c r="A45" s="38" t="s">
        <v>141</v>
      </c>
      <c r="B45" s="41"/>
      <c r="C45" s="41"/>
      <c r="D45" s="41"/>
      <c r="E45" s="277"/>
      <c r="F45" s="277"/>
      <c r="G45" s="58"/>
      <c r="H45" s="106"/>
      <c r="I45" s="106"/>
    </row>
    <row r="46" spans="1:10" s="36" customFormat="1" ht="11.25" customHeight="1" x14ac:dyDescent="0.2">
      <c r="A46" s="47" t="s">
        <v>143</v>
      </c>
      <c r="B46" s="81" t="s">
        <v>20</v>
      </c>
      <c r="C46" s="43">
        <v>1</v>
      </c>
      <c r="D46" s="80">
        <v>40000</v>
      </c>
      <c r="E46" s="285">
        <f>C46*D46</f>
        <v>40000</v>
      </c>
      <c r="F46" s="285"/>
      <c r="G46" s="58"/>
      <c r="H46" s="106"/>
      <c r="I46" s="106"/>
    </row>
    <row r="47" spans="1:10" s="36" customFormat="1" ht="11.25" customHeight="1" x14ac:dyDescent="0.2">
      <c r="A47" s="49" t="s">
        <v>142</v>
      </c>
      <c r="B47" s="48"/>
      <c r="C47" s="48"/>
      <c r="D47" s="48"/>
      <c r="E47" s="272">
        <f>SUM(E46)</f>
        <v>40000</v>
      </c>
      <c r="F47" s="272"/>
      <c r="G47" s="58"/>
      <c r="H47" s="106"/>
      <c r="I47" s="106"/>
    </row>
    <row r="48" spans="1:10" s="36" customFormat="1" ht="11.25" x14ac:dyDescent="0.2">
      <c r="A48" s="38" t="s">
        <v>42</v>
      </c>
      <c r="B48" s="41"/>
      <c r="C48" s="41"/>
      <c r="D48" s="41"/>
      <c r="E48" s="273"/>
      <c r="F48" s="273"/>
      <c r="H48" s="106" t="s">
        <v>168</v>
      </c>
      <c r="I48" s="106"/>
    </row>
    <row r="49" spans="1:9" s="36" customFormat="1" ht="205.5" customHeight="1" x14ac:dyDescent="0.2">
      <c r="A49" s="61" t="s">
        <v>151</v>
      </c>
      <c r="B49" s="62" t="s">
        <v>20</v>
      </c>
      <c r="C49" s="63">
        <v>1</v>
      </c>
      <c r="D49" s="64">
        <f>E60</f>
        <v>65000</v>
      </c>
      <c r="E49" s="278">
        <f t="shared" ref="E49" si="8">C49*D49</f>
        <v>65000</v>
      </c>
      <c r="F49" s="278"/>
      <c r="H49" s="106"/>
      <c r="I49" s="106"/>
    </row>
    <row r="50" spans="1:9" s="36" customFormat="1" ht="27" customHeight="1" x14ac:dyDescent="0.2">
      <c r="A50" s="279" t="s">
        <v>100</v>
      </c>
      <c r="B50" s="280"/>
      <c r="C50" s="280"/>
      <c r="D50" s="280"/>
      <c r="E50" s="280"/>
      <c r="F50" s="281"/>
      <c r="H50" s="106"/>
      <c r="I50" s="106"/>
    </row>
    <row r="51" spans="1:9" s="36" customFormat="1" ht="48.75" customHeight="1" x14ac:dyDescent="0.2">
      <c r="A51" s="282" t="s">
        <v>101</v>
      </c>
      <c r="B51" s="283"/>
      <c r="C51" s="283"/>
      <c r="D51" s="283"/>
      <c r="E51" s="283"/>
      <c r="F51" s="284"/>
      <c r="H51" s="106"/>
      <c r="I51" s="106"/>
    </row>
    <row r="52" spans="1:9" s="36" customFormat="1" ht="73.5" customHeight="1" x14ac:dyDescent="0.2">
      <c r="A52" s="274" t="s">
        <v>102</v>
      </c>
      <c r="B52" s="275"/>
      <c r="C52" s="275"/>
      <c r="D52" s="275"/>
      <c r="E52" s="275"/>
      <c r="F52" s="276"/>
      <c r="H52" s="106"/>
      <c r="I52" s="106"/>
    </row>
    <row r="53" spans="1:9" s="36" customFormat="1" ht="11.1" hidden="1" customHeight="1" x14ac:dyDescent="0.2">
      <c r="A53" s="65" t="s">
        <v>104</v>
      </c>
      <c r="B53" s="66" t="s">
        <v>103</v>
      </c>
      <c r="C53" s="67">
        <v>2.2000000000000002</v>
      </c>
      <c r="D53" s="68"/>
      <c r="E53" s="268"/>
      <c r="F53" s="269"/>
      <c r="H53" s="106"/>
      <c r="I53" s="106"/>
    </row>
    <row r="54" spans="1:9" s="36" customFormat="1" ht="11.1" hidden="1" customHeight="1" x14ac:dyDescent="0.2">
      <c r="A54" s="65" t="s">
        <v>108</v>
      </c>
      <c r="B54" s="66" t="s">
        <v>103</v>
      </c>
      <c r="C54" s="87">
        <v>1.05</v>
      </c>
      <c r="D54" s="68"/>
      <c r="E54" s="270"/>
      <c r="F54" s="270"/>
      <c r="H54" s="106"/>
      <c r="I54" s="106"/>
    </row>
    <row r="55" spans="1:9" s="36" customFormat="1" ht="11.1" hidden="1" customHeight="1" x14ac:dyDescent="0.2">
      <c r="A55" s="65" t="s">
        <v>109</v>
      </c>
      <c r="B55" s="66" t="s">
        <v>103</v>
      </c>
      <c r="C55" s="87">
        <v>1.1000000000000001</v>
      </c>
      <c r="D55" s="68"/>
      <c r="E55" s="270"/>
      <c r="F55" s="270"/>
      <c r="H55" s="106"/>
      <c r="I55" s="106"/>
    </row>
    <row r="56" spans="1:9" s="36" customFormat="1" ht="29.25" hidden="1" customHeight="1" x14ac:dyDescent="0.2">
      <c r="A56" s="65" t="s">
        <v>110</v>
      </c>
      <c r="B56" s="66" t="s">
        <v>103</v>
      </c>
      <c r="C56" s="87">
        <v>1.1000000000000001</v>
      </c>
      <c r="D56" s="68"/>
      <c r="E56" s="270"/>
      <c r="F56" s="270"/>
      <c r="H56" s="106"/>
      <c r="I56" s="106"/>
    </row>
    <row r="57" spans="1:9" s="36" customFormat="1" ht="11.1" hidden="1" customHeight="1" x14ac:dyDescent="0.2">
      <c r="A57" s="65" t="s">
        <v>111</v>
      </c>
      <c r="B57" s="66" t="s">
        <v>103</v>
      </c>
      <c r="C57" s="67">
        <f>C53*(C54*C55*C56)</f>
        <v>2.795100000000001</v>
      </c>
      <c r="D57" s="68"/>
      <c r="E57" s="270"/>
      <c r="F57" s="270"/>
      <c r="H57" s="106"/>
      <c r="I57" s="106"/>
    </row>
    <row r="58" spans="1:9" s="36" customFormat="1" ht="11.1" hidden="1" customHeight="1" x14ac:dyDescent="0.2">
      <c r="A58" s="65" t="s">
        <v>105</v>
      </c>
      <c r="B58" s="42" t="s">
        <v>107</v>
      </c>
      <c r="C58" s="67"/>
      <c r="D58" s="68"/>
      <c r="E58" s="270">
        <f>E65</f>
        <v>2307252.87</v>
      </c>
      <c r="F58" s="270"/>
      <c r="H58" s="106"/>
      <c r="I58" s="106"/>
    </row>
    <row r="59" spans="1:9" s="36" customFormat="1" ht="11.1" hidden="1" customHeight="1" x14ac:dyDescent="0.2">
      <c r="A59" s="47" t="s">
        <v>106</v>
      </c>
      <c r="B59" s="42" t="s">
        <v>107</v>
      </c>
      <c r="C59" s="56"/>
      <c r="D59" s="44"/>
      <c r="E59" s="271">
        <f>E58*C57/100</f>
        <v>64490.024969370032</v>
      </c>
      <c r="F59" s="271"/>
      <c r="H59" s="106"/>
      <c r="I59" s="106"/>
    </row>
    <row r="60" spans="1:9" s="36" customFormat="1" ht="11.1" hidden="1" customHeight="1" x14ac:dyDescent="0.2">
      <c r="A60" s="47"/>
      <c r="B60" s="42"/>
      <c r="C60" s="56"/>
      <c r="D60" s="44"/>
      <c r="E60" s="271">
        <f>_xlfn.CEILING.MATH(E59,1000)</f>
        <v>65000</v>
      </c>
      <c r="F60" s="271"/>
      <c r="H60" s="106"/>
      <c r="I60" s="106"/>
    </row>
    <row r="61" spans="1:9" s="36" customFormat="1" ht="11.1" hidden="1" customHeight="1" x14ac:dyDescent="0.2">
      <c r="A61" s="47"/>
      <c r="B61" s="42"/>
      <c r="C61" s="56"/>
      <c r="D61" s="44"/>
      <c r="E61" s="271"/>
      <c r="F61" s="271"/>
      <c r="H61" s="106"/>
      <c r="I61" s="106"/>
    </row>
    <row r="62" spans="1:9" s="36" customFormat="1" ht="11.1" customHeight="1" x14ac:dyDescent="0.2">
      <c r="A62" s="49" t="str">
        <f>CONCATENATE(A48,"  ŁĄCZNIE")</f>
        <v>Dokumentacja projektowa  ŁĄCZNIE</v>
      </c>
      <c r="B62" s="48"/>
      <c r="C62" s="48"/>
      <c r="D62" s="48"/>
      <c r="E62" s="272">
        <f>E49</f>
        <v>65000</v>
      </c>
      <c r="F62" s="272"/>
      <c r="H62" s="106"/>
      <c r="I62" s="106"/>
    </row>
    <row r="63" spans="1:9" s="36" customFormat="1" ht="11.1" customHeight="1" x14ac:dyDescent="0.2">
      <c r="A63" s="38" t="s">
        <v>112</v>
      </c>
      <c r="B63" s="41"/>
      <c r="C63" s="41"/>
      <c r="D63" s="41"/>
      <c r="E63" s="273"/>
      <c r="F63" s="273"/>
      <c r="H63" s="106"/>
      <c r="I63" s="106"/>
    </row>
    <row r="64" spans="1:9" x14ac:dyDescent="0.25">
      <c r="A64" s="82" t="s">
        <v>96</v>
      </c>
      <c r="B64" s="84" t="s">
        <v>137</v>
      </c>
      <c r="C64" s="85">
        <v>1</v>
      </c>
      <c r="D64" s="86"/>
      <c r="E64" s="263">
        <f>ROUND(E62,2)</f>
        <v>65000</v>
      </c>
      <c r="F64" s="264"/>
    </row>
    <row r="65" spans="1:7" x14ac:dyDescent="0.25">
      <c r="A65" s="59" t="s">
        <v>97</v>
      </c>
      <c r="B65" s="84" t="s">
        <v>137</v>
      </c>
      <c r="C65" s="85">
        <v>2</v>
      </c>
      <c r="D65" s="86"/>
      <c r="E65" s="263">
        <f>ROUND(E5+E13+E22+E25+E30+E36+E40+E44+E47,2)</f>
        <v>2307252.87</v>
      </c>
      <c r="F65" s="264"/>
    </row>
    <row r="66" spans="1:7" x14ac:dyDescent="0.25">
      <c r="A66" s="59" t="s">
        <v>140</v>
      </c>
      <c r="B66" s="84" t="s">
        <v>137</v>
      </c>
      <c r="C66" s="85" t="s">
        <v>138</v>
      </c>
      <c r="D66" s="86"/>
      <c r="E66" s="263">
        <f>ROUND(0.05*(E64+E65),2)</f>
        <v>118612.64</v>
      </c>
      <c r="F66" s="264"/>
    </row>
    <row r="67" spans="1:7" x14ac:dyDescent="0.25">
      <c r="A67" s="265" t="s">
        <v>63</v>
      </c>
      <c r="B67" s="265"/>
      <c r="C67" s="265"/>
      <c r="D67" s="265"/>
      <c r="E67" s="266">
        <f>E64+E65+E66</f>
        <v>2490865.5100000002</v>
      </c>
      <c r="F67" s="265"/>
    </row>
    <row r="68" spans="1:7" x14ac:dyDescent="0.25">
      <c r="A68" s="264" t="s">
        <v>64</v>
      </c>
      <c r="B68" s="264"/>
      <c r="C68" s="264"/>
      <c r="D68" s="264"/>
      <c r="E68" s="263">
        <f>SUM(E67*1.23)</f>
        <v>3063764.5773000005</v>
      </c>
      <c r="F68" s="263"/>
    </row>
    <row r="69" spans="1:7" x14ac:dyDescent="0.25">
      <c r="C69" s="267" t="s">
        <v>66</v>
      </c>
      <c r="D69" s="267"/>
      <c r="E69" s="267"/>
      <c r="F69" s="267"/>
    </row>
    <row r="70" spans="1:7" x14ac:dyDescent="0.25">
      <c r="A70" s="32" t="s">
        <v>49</v>
      </c>
      <c r="B70" s="33"/>
      <c r="C70" s="34"/>
      <c r="D70" s="34"/>
      <c r="E70" s="34"/>
      <c r="F70" s="34"/>
      <c r="G70" s="33"/>
    </row>
    <row r="71" spans="1:7" x14ac:dyDescent="0.25">
      <c r="A71" s="60"/>
      <c r="B71" s="60"/>
      <c r="C71" s="60"/>
      <c r="D71" s="60"/>
      <c r="E71" s="60"/>
      <c r="F71" s="60"/>
      <c r="G71" s="35"/>
    </row>
    <row r="72" spans="1:7" x14ac:dyDescent="0.25">
      <c r="A72" s="32" t="s">
        <v>51</v>
      </c>
      <c r="B72" s="33"/>
      <c r="C72" s="33"/>
      <c r="D72" s="33"/>
      <c r="E72" s="33"/>
      <c r="F72" s="33"/>
      <c r="G72" s="33"/>
    </row>
    <row r="73" spans="1:7" ht="15" customHeight="1" x14ac:dyDescent="0.25">
      <c r="A73" s="262" t="s">
        <v>98</v>
      </c>
      <c r="B73" s="262"/>
      <c r="C73" s="262"/>
      <c r="D73" s="262"/>
      <c r="E73" s="262"/>
      <c r="F73" s="262"/>
      <c r="G73" s="35"/>
    </row>
  </sheetData>
  <mergeCells count="78">
    <mergeCell ref="G7:G8"/>
    <mergeCell ref="A1:F1"/>
    <mergeCell ref="E2:F2"/>
    <mergeCell ref="E3:F3"/>
    <mergeCell ref="E4:F4"/>
    <mergeCell ref="E5:F5"/>
    <mergeCell ref="E6:F6"/>
    <mergeCell ref="E14:F14"/>
    <mergeCell ref="A7:A8"/>
    <mergeCell ref="B7:B8"/>
    <mergeCell ref="C7:C8"/>
    <mergeCell ref="D7:D8"/>
    <mergeCell ref="E7:F8"/>
    <mergeCell ref="E9:F9"/>
    <mergeCell ref="E10:F10"/>
    <mergeCell ref="E11:F11"/>
    <mergeCell ref="E12:F12"/>
    <mergeCell ref="E13:F13"/>
    <mergeCell ref="E26:F26"/>
    <mergeCell ref="E15:F15"/>
    <mergeCell ref="E16:F16"/>
    <mergeCell ref="E17:F17"/>
    <mergeCell ref="E18:F18"/>
    <mergeCell ref="E19:F19"/>
    <mergeCell ref="E20:F20"/>
    <mergeCell ref="E21:F21"/>
    <mergeCell ref="E22:F22"/>
    <mergeCell ref="E23:F23"/>
    <mergeCell ref="E24:F24"/>
    <mergeCell ref="E25:F25"/>
    <mergeCell ref="E36:F36"/>
    <mergeCell ref="E27:F27"/>
    <mergeCell ref="L27:M27"/>
    <mergeCell ref="E28:F28"/>
    <mergeCell ref="E29:F29"/>
    <mergeCell ref="E30:F30"/>
    <mergeCell ref="E31:F31"/>
    <mergeCell ref="E32:F32"/>
    <mergeCell ref="L32:M32"/>
    <mergeCell ref="E33:F33"/>
    <mergeCell ref="E34:F34"/>
    <mergeCell ref="E35:F35"/>
    <mergeCell ref="A52:F52"/>
    <mergeCell ref="E37:F37"/>
    <mergeCell ref="E38:F38"/>
    <mergeCell ref="E40:F40"/>
    <mergeCell ref="E41:F41"/>
    <mergeCell ref="E42:F42"/>
    <mergeCell ref="E43:F43"/>
    <mergeCell ref="E44:F44"/>
    <mergeCell ref="E48:F48"/>
    <mergeCell ref="E49:F49"/>
    <mergeCell ref="A50:F50"/>
    <mergeCell ref="A51:F51"/>
    <mergeCell ref="E45:F45"/>
    <mergeCell ref="E46:F46"/>
    <mergeCell ref="E47:F47"/>
    <mergeCell ref="E39:F39"/>
    <mergeCell ref="E64:F64"/>
    <mergeCell ref="E53:F53"/>
    <mergeCell ref="E54:F54"/>
    <mergeCell ref="E55:F55"/>
    <mergeCell ref="E56:F56"/>
    <mergeCell ref="E57:F57"/>
    <mergeCell ref="E58:F58"/>
    <mergeCell ref="E59:F59"/>
    <mergeCell ref="E60:F60"/>
    <mergeCell ref="E61:F61"/>
    <mergeCell ref="E62:F62"/>
    <mergeCell ref="E63:F63"/>
    <mergeCell ref="A73:F73"/>
    <mergeCell ref="E65:F65"/>
    <mergeCell ref="A67:D67"/>
    <mergeCell ref="E67:F67"/>
    <mergeCell ref="A68:D68"/>
    <mergeCell ref="E68:F68"/>
    <mergeCell ref="C69:F69"/>
    <mergeCell ref="E66:F66"/>
  </mergeCells>
  <pageMargins left="0.70866141732283472" right="0.70866141732283472" top="0.74803149606299213" bottom="0.74803149606299213" header="0.31496062992125984" footer="0.31496062992125984"/>
  <pageSetup paperSize="9" scale="93" fitToHeight="0" orientation="portrait" r:id="rId1"/>
  <rowBreaks count="1" manualBreakCount="1">
    <brk id="47"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S63"/>
  <sheetViews>
    <sheetView view="pageBreakPreview" zoomScale="130" zoomScaleNormal="130" zoomScaleSheetLayoutView="130" workbookViewId="0">
      <pane ySplit="2" topLeftCell="A21" activePane="bottomLeft" state="frozen"/>
      <selection pane="bottomLeft" activeCell="B24" sqref="B24"/>
    </sheetView>
  </sheetViews>
  <sheetFormatPr defaultColWidth="9.140625" defaultRowHeight="15" x14ac:dyDescent="0.25"/>
  <cols>
    <col min="1" max="1" width="9.140625" style="107"/>
    <col min="2" max="2" width="51.42578125" style="107" customWidth="1"/>
    <col min="3" max="3" width="9.140625" style="107"/>
    <col min="4" max="4" width="7.85546875" style="192" customWidth="1"/>
    <col min="5" max="5" width="10.5703125" style="107" hidden="1" customWidth="1"/>
    <col min="6" max="6" width="5" style="107" customWidth="1"/>
    <col min="7" max="7" width="9.140625" style="107"/>
    <col min="8" max="8" width="15.85546875" style="107" customWidth="1"/>
    <col min="9" max="9" width="11.85546875" style="109" customWidth="1"/>
    <col min="10" max="15" width="9.140625" style="109"/>
    <col min="16" max="16" width="13.42578125" style="129" customWidth="1"/>
    <col min="17" max="17" width="9.140625" style="107"/>
    <col min="18" max="18" width="9.140625" style="133"/>
    <col min="19" max="16384" width="9.140625" style="107"/>
  </cols>
  <sheetData>
    <row r="1" spans="1:19" ht="48" customHeight="1" x14ac:dyDescent="0.25">
      <c r="A1" s="253" t="s">
        <v>199</v>
      </c>
      <c r="B1" s="253"/>
      <c r="C1" s="253"/>
      <c r="D1" s="253"/>
      <c r="E1" s="253"/>
      <c r="F1" s="253"/>
      <c r="G1" s="253"/>
      <c r="H1" s="107" t="s">
        <v>205</v>
      </c>
    </row>
    <row r="2" spans="1:19" s="58" customFormat="1" ht="27.75" customHeight="1" x14ac:dyDescent="0.25">
      <c r="A2" s="105" t="s">
        <v>162</v>
      </c>
      <c r="B2" s="105" t="s">
        <v>161</v>
      </c>
      <c r="C2" s="105" t="s">
        <v>163</v>
      </c>
      <c r="D2" s="182" t="s">
        <v>164</v>
      </c>
      <c r="E2" s="105" t="s">
        <v>35</v>
      </c>
      <c r="F2" s="254" t="s">
        <v>95</v>
      </c>
      <c r="G2" s="254"/>
      <c r="H2" s="79">
        <f>F59</f>
        <v>5989471.5999999996</v>
      </c>
      <c r="I2" s="106"/>
      <c r="J2" s="106"/>
      <c r="K2" s="106"/>
      <c r="L2" s="106"/>
      <c r="M2" s="106"/>
      <c r="N2" s="106"/>
      <c r="O2" s="106"/>
      <c r="P2" s="130"/>
      <c r="R2" s="134"/>
    </row>
    <row r="3" spans="1:19" s="58" customFormat="1" ht="15" customHeight="1" x14ac:dyDescent="0.25">
      <c r="A3" s="239" t="s">
        <v>165</v>
      </c>
      <c r="B3" s="240"/>
      <c r="C3" s="240"/>
      <c r="D3" s="240"/>
      <c r="E3" s="240"/>
      <c r="F3" s="245"/>
      <c r="G3" s="246"/>
      <c r="H3" s="79"/>
      <c r="I3" s="106"/>
      <c r="J3" s="106"/>
      <c r="K3" s="106"/>
      <c r="L3" s="106"/>
      <c r="M3" s="106"/>
      <c r="N3" s="106"/>
      <c r="O3" s="106"/>
      <c r="P3" s="130"/>
      <c r="R3" s="134"/>
    </row>
    <row r="4" spans="1:19" s="58" customFormat="1" ht="11.25" x14ac:dyDescent="0.25">
      <c r="A4" s="111">
        <v>1</v>
      </c>
      <c r="B4" s="111" t="str">
        <f>'Rybnik Niedobczyce (2,5mln)'!A48</f>
        <v>Dokumentacja projektowa</v>
      </c>
      <c r="C4" s="170" t="str">
        <f>'Rybnik Niedobczyce (2,5mln)'!B49</f>
        <v>kpl</v>
      </c>
      <c r="D4" s="183">
        <f>'Rybnik Niedobczyce (2,5mln)'!C49</f>
        <v>1</v>
      </c>
      <c r="E4" s="126">
        <f>F4/D4</f>
        <v>213000</v>
      </c>
      <c r="F4" s="260">
        <f>'Rybnik Niewiadom'!E55</f>
        <v>213000</v>
      </c>
      <c r="G4" s="261"/>
      <c r="I4" s="106"/>
      <c r="J4" s="106"/>
      <c r="K4" s="106"/>
      <c r="L4" s="106"/>
      <c r="M4" s="106"/>
      <c r="N4" s="106"/>
      <c r="O4" s="106"/>
      <c r="P4" s="130"/>
      <c r="R4" s="134"/>
    </row>
    <row r="5" spans="1:19" s="58" customFormat="1" ht="158.44999999999999" customHeight="1" x14ac:dyDescent="0.25">
      <c r="A5" s="65"/>
      <c r="B5" s="65" t="str">
        <f>'Rybnik Niedobczyce (2,5mln)'!A49</f>
        <v>Dokumentacja projektowa (projekty  organizacji ruchu, projekt budowlany i zagospodarowania terenu, projekt techniczny wykonawczy, dokumentacja powykonawcza, uzgodnienia, uzyskanie pozwoleń i decyzji administracyjnych).
Wykonanie dokumentacji technicznej przez osoby uprawnione z uzyskaniem niezbędnych uzgodnień,  pozwoleniem na przebudowę;
• integralną częścią dokumentacji technicznej powinien być kosztorys inwestorski i specyfikacje STWiORB;
• projekt przedmiotowego peronu należy przekazać do Zamawiającego celem uzgodnienia;
• projekt zgodny z aktualnymi standardami, instrukcjami i wytycznymi PKP PLK S.A. oraz spełnić wymagania TSI-PRM, aktualnych rozporządzeń, norm i zapisów prawa;
• uzyskanie wszelkich wymaganych Prawem uzgodnień, wyników badań, decyzji administracyjnych w tym decyzji Pozwoelnia na budowę;
• prowadzenie nadzoru autorskiego.</v>
      </c>
      <c r="C5" s="171"/>
      <c r="D5" s="184"/>
      <c r="E5" s="68"/>
      <c r="F5" s="251"/>
      <c r="G5" s="252"/>
      <c r="I5" s="106"/>
      <c r="J5" s="106"/>
      <c r="K5" s="106"/>
      <c r="L5" s="106"/>
      <c r="M5" s="106"/>
      <c r="N5" s="106"/>
      <c r="O5" s="106"/>
      <c r="P5" s="130"/>
      <c r="R5" s="134"/>
    </row>
    <row r="6" spans="1:19" s="119" customFormat="1" ht="11.1" customHeight="1" x14ac:dyDescent="0.25">
      <c r="A6" s="115"/>
      <c r="B6" s="116"/>
      <c r="C6" s="117"/>
      <c r="D6" s="185"/>
      <c r="E6" s="118"/>
      <c r="F6" s="247">
        <f>F4</f>
        <v>213000</v>
      </c>
      <c r="G6" s="248"/>
      <c r="I6" s="120"/>
      <c r="J6" s="120"/>
      <c r="K6" s="120"/>
      <c r="L6" s="120"/>
      <c r="M6" s="120"/>
      <c r="N6" s="120"/>
      <c r="O6" s="120"/>
      <c r="P6" s="131"/>
      <c r="R6" s="135"/>
    </row>
    <row r="7" spans="1:19" s="58" customFormat="1" ht="11.25" x14ac:dyDescent="0.25">
      <c r="A7" s="239" t="s">
        <v>170</v>
      </c>
      <c r="B7" s="240"/>
      <c r="C7" s="240"/>
      <c r="D7" s="240"/>
      <c r="E7" s="240"/>
      <c r="F7" s="245"/>
      <c r="G7" s="246"/>
      <c r="I7" s="106"/>
      <c r="J7" s="106"/>
      <c r="K7" s="106"/>
      <c r="L7" s="106"/>
      <c r="M7" s="106"/>
      <c r="N7" s="106"/>
      <c r="O7" s="106"/>
      <c r="P7" s="130"/>
      <c r="R7" s="134"/>
    </row>
    <row r="8" spans="1:19" s="58" customFormat="1" ht="33.75" x14ac:dyDescent="0.25">
      <c r="A8" s="61">
        <v>1</v>
      </c>
      <c r="B8" s="61" t="s">
        <v>221</v>
      </c>
      <c r="C8" s="169" t="str">
        <f>'Rybnik Niedobczyce (2,5mln)'!B16</f>
        <v>km</v>
      </c>
      <c r="D8" s="186">
        <f>'Rybnik Niewiadom'!C16</f>
        <v>0.52</v>
      </c>
      <c r="E8" s="126">
        <f>F8/D8</f>
        <v>3506881.1710231514</v>
      </c>
      <c r="F8" s="249">
        <f>R9-F10-F16-F18</f>
        <v>1823578.2089320389</v>
      </c>
      <c r="G8" s="250"/>
      <c r="H8" s="193"/>
      <c r="I8" s="106"/>
      <c r="J8" s="106"/>
      <c r="K8" s="106"/>
      <c r="L8" s="106"/>
      <c r="M8" s="106"/>
      <c r="N8" s="106"/>
      <c r="O8" s="106"/>
      <c r="P8" s="132"/>
      <c r="Q8" s="121"/>
      <c r="R8" s="137"/>
      <c r="S8" s="122"/>
    </row>
    <row r="9" spans="1:19" s="58" customFormat="1" ht="248.45" customHeight="1" x14ac:dyDescent="0.25">
      <c r="A9" s="65"/>
      <c r="B9" s="113" t="s">
        <v>235</v>
      </c>
      <c r="C9" s="171"/>
      <c r="D9" s="184"/>
      <c r="E9" s="68"/>
      <c r="F9" s="251"/>
      <c r="G9" s="252"/>
      <c r="I9" s="106"/>
      <c r="J9" s="106"/>
      <c r="K9" s="106"/>
      <c r="L9" s="106"/>
      <c r="M9" s="106"/>
      <c r="N9" s="106"/>
      <c r="O9" s="106"/>
      <c r="P9" s="141" t="s">
        <v>183</v>
      </c>
      <c r="Q9" s="110"/>
      <c r="R9" s="140">
        <f>'Rybnik Niewiadom'!E15+'Rybnik Niewiadom'!E16+'Rybnik Niewiadom'!E18+'Rybnik Niewiadom'!E19</f>
        <v>1891578.2089320389</v>
      </c>
      <c r="S9" s="142" t="s">
        <v>179</v>
      </c>
    </row>
    <row r="10" spans="1:19" s="58" customFormat="1" ht="29.45" customHeight="1" x14ac:dyDescent="0.25">
      <c r="A10" s="61">
        <f>A8+1</f>
        <v>2</v>
      </c>
      <c r="B10" s="61" t="str">
        <f>B8</f>
        <v>Wykonanie miejscowego wzmocnienia podtorza i wymiana nawierzchni torów nr 1 i nr 2 wraz z rozjazdami i przyległymi wstawkami rozjazdowymi w obrębie peronu</v>
      </c>
      <c r="C10" s="169" t="str">
        <f>C8</f>
        <v>km</v>
      </c>
      <c r="D10" s="186">
        <f>D8</f>
        <v>0.52</v>
      </c>
      <c r="E10" s="126">
        <f>F10/D10</f>
        <v>76923.076923076922</v>
      </c>
      <c r="F10" s="249">
        <v>40000</v>
      </c>
      <c r="G10" s="250"/>
      <c r="I10" s="106"/>
      <c r="J10" s="106"/>
      <c r="K10" s="106"/>
      <c r="L10" s="106"/>
      <c r="M10" s="106"/>
      <c r="N10" s="106"/>
      <c r="O10" s="106"/>
      <c r="P10" s="132"/>
      <c r="Q10" s="121"/>
      <c r="R10" s="137"/>
      <c r="S10" s="122"/>
    </row>
    <row r="11" spans="1:19" s="58" customFormat="1" ht="49.5" customHeight="1" x14ac:dyDescent="0.25">
      <c r="A11" s="65"/>
      <c r="B11" s="113" t="s">
        <v>222</v>
      </c>
      <c r="C11" s="171"/>
      <c r="D11" s="187"/>
      <c r="E11" s="68"/>
      <c r="F11" s="251"/>
      <c r="G11" s="252"/>
      <c r="I11" s="106"/>
      <c r="J11" s="106"/>
      <c r="K11" s="106"/>
      <c r="L11" s="106"/>
      <c r="M11" s="106"/>
      <c r="N11" s="106"/>
      <c r="O11" s="106"/>
      <c r="P11" s="127"/>
      <c r="Q11" s="123"/>
      <c r="R11" s="136"/>
      <c r="S11" s="124"/>
    </row>
    <row r="12" spans="1:19" s="58" customFormat="1" ht="39" customHeight="1" x14ac:dyDescent="0.25">
      <c r="A12" s="61">
        <f>A10+1</f>
        <v>3</v>
      </c>
      <c r="B12" s="61" t="str">
        <f>B10</f>
        <v>Wykonanie miejscowego wzmocnienia podtorza i wymiana nawierzchni torów nr 1 i nr 2 wraz z rozjazdami i przyległymi wstawkami rozjazdowymi w obrębie peronu</v>
      </c>
      <c r="C12" s="169" t="str">
        <f>C10</f>
        <v>km</v>
      </c>
      <c r="D12" s="186">
        <f>D10</f>
        <v>0.52</v>
      </c>
      <c r="E12" s="126">
        <f>F12/D12</f>
        <v>541557.69230769225</v>
      </c>
      <c r="F12" s="249">
        <f>R12</f>
        <v>281610</v>
      </c>
      <c r="G12" s="250"/>
      <c r="I12" s="106"/>
      <c r="J12" s="106"/>
      <c r="K12" s="106"/>
      <c r="L12" s="106"/>
      <c r="M12" s="106"/>
      <c r="N12" s="106"/>
      <c r="O12" s="106"/>
      <c r="P12" s="143">
        <f>'Rybnik Niedobczyce (2,5mln)'!D17</f>
        <v>223.5</v>
      </c>
      <c r="Q12" s="108" t="s">
        <v>181</v>
      </c>
      <c r="R12" s="138">
        <f>'Rybnik Niewiadom'!E17</f>
        <v>281610</v>
      </c>
      <c r="S12" s="144" t="s">
        <v>179</v>
      </c>
    </row>
    <row r="13" spans="1:19" s="58" customFormat="1" ht="38.450000000000003" customHeight="1" x14ac:dyDescent="0.25">
      <c r="A13" s="65"/>
      <c r="B13" s="113" t="s">
        <v>225</v>
      </c>
      <c r="C13" s="171"/>
      <c r="D13" s="187"/>
      <c r="E13" s="68"/>
      <c r="F13" s="251"/>
      <c r="G13" s="252"/>
      <c r="I13" s="106"/>
      <c r="J13" s="106"/>
      <c r="K13" s="106"/>
      <c r="L13" s="106"/>
      <c r="M13" s="106"/>
      <c r="N13" s="106"/>
      <c r="O13" s="106"/>
      <c r="P13" s="127">
        <f>197464.68/0.415</f>
        <v>475818.50602409639</v>
      </c>
      <c r="Q13" s="123"/>
      <c r="R13" s="136"/>
      <c r="S13" s="124"/>
    </row>
    <row r="14" spans="1:19" s="58" customFormat="1" ht="28.15" customHeight="1" x14ac:dyDescent="0.25">
      <c r="A14" s="61">
        <f>A12+1</f>
        <v>4</v>
      </c>
      <c r="B14" s="61" t="str">
        <f>B12</f>
        <v>Wykonanie miejscowego wzmocnienia podtorza i wymiana nawierzchni torów nr 1 i nr 2 wraz z rozjazdami i przyległymi wstawkami rozjazdowymi w obrębie peronu</v>
      </c>
      <c r="C14" s="169" t="str">
        <f>C8</f>
        <v>km</v>
      </c>
      <c r="D14" s="186">
        <f>D8</f>
        <v>0.52</v>
      </c>
      <c r="E14" s="126">
        <f>F14/D14</f>
        <v>107307.6923076923</v>
      </c>
      <c r="F14" s="249">
        <f>R14</f>
        <v>55800</v>
      </c>
      <c r="G14" s="250"/>
      <c r="I14" s="106"/>
      <c r="J14" s="106"/>
      <c r="K14" s="106"/>
      <c r="L14" s="106"/>
      <c r="M14" s="106"/>
      <c r="N14" s="106"/>
      <c r="O14" s="106"/>
      <c r="P14" s="132"/>
      <c r="Q14" s="121"/>
      <c r="R14" s="137">
        <f>'Rybnik Niewiadom'!E20</f>
        <v>55800</v>
      </c>
      <c r="S14" s="122" t="s">
        <v>179</v>
      </c>
    </row>
    <row r="15" spans="1:19" s="58" customFormat="1" ht="21.95" customHeight="1" x14ac:dyDescent="0.25">
      <c r="A15" s="65"/>
      <c r="B15" s="113" t="s">
        <v>175</v>
      </c>
      <c r="C15" s="171"/>
      <c r="D15" s="187"/>
      <c r="E15" s="68"/>
      <c r="F15" s="251"/>
      <c r="G15" s="252"/>
      <c r="I15" s="106"/>
      <c r="J15" s="106"/>
      <c r="K15" s="106"/>
      <c r="L15" s="106"/>
      <c r="M15" s="106"/>
      <c r="N15" s="106"/>
      <c r="O15" s="106"/>
      <c r="P15" s="127"/>
      <c r="Q15" s="123"/>
      <c r="R15" s="136"/>
      <c r="S15" s="124"/>
    </row>
    <row r="16" spans="1:19" s="58" customFormat="1" ht="24.6" customHeight="1" x14ac:dyDescent="0.25">
      <c r="A16" s="61">
        <f>A14+1</f>
        <v>5</v>
      </c>
      <c r="B16" s="61" t="str">
        <f>B14</f>
        <v>Wykonanie miejscowego wzmocnienia podtorza i wymiana nawierzchni torów nr 1 i nr 2 wraz z rozjazdami i przyległymi wstawkami rozjazdowymi w obrębie peronu</v>
      </c>
      <c r="C16" s="169" t="s">
        <v>174</v>
      </c>
      <c r="D16" s="186">
        <v>0.2</v>
      </c>
      <c r="E16" s="126">
        <f>F16/D16</f>
        <v>90000</v>
      </c>
      <c r="F16" s="249">
        <f>R16</f>
        <v>18000</v>
      </c>
      <c r="G16" s="250"/>
      <c r="I16" s="106" t="s">
        <v>171</v>
      </c>
      <c r="J16" s="106">
        <v>100</v>
      </c>
      <c r="K16" s="106" t="s">
        <v>172</v>
      </c>
      <c r="L16" s="106">
        <v>100</v>
      </c>
      <c r="M16" s="106" t="s">
        <v>173</v>
      </c>
      <c r="N16" s="106">
        <f>J16*L16</f>
        <v>10000</v>
      </c>
      <c r="O16" s="106"/>
      <c r="P16" s="132">
        <f>630000/7.3</f>
        <v>86301.369863013708</v>
      </c>
      <c r="Q16" s="121" t="s">
        <v>178</v>
      </c>
      <c r="R16" s="137">
        <f>_xlfn.CEILING.MATH(P16*D16,1000)</f>
        <v>18000</v>
      </c>
      <c r="S16" s="122" t="s">
        <v>179</v>
      </c>
    </row>
    <row r="17" spans="1:19" s="58" customFormat="1" ht="45" customHeight="1" x14ac:dyDescent="0.25">
      <c r="A17" s="65"/>
      <c r="B17" s="113" t="s">
        <v>226</v>
      </c>
      <c r="C17" s="171"/>
      <c r="D17" s="184"/>
      <c r="E17" s="68"/>
      <c r="F17" s="251"/>
      <c r="G17" s="252"/>
      <c r="I17" s="106"/>
      <c r="J17" s="106">
        <f>D8</f>
        <v>0.52</v>
      </c>
      <c r="K17" s="106" t="s">
        <v>172</v>
      </c>
      <c r="L17" s="106">
        <v>3</v>
      </c>
      <c r="M17" s="106" t="s">
        <v>173</v>
      </c>
      <c r="N17" s="106">
        <f>J17*1000*L17</f>
        <v>1560</v>
      </c>
      <c r="O17" s="106">
        <f>ROUNDUP(N17/N16,3)</f>
        <v>0.156</v>
      </c>
      <c r="P17" s="127"/>
      <c r="Q17" s="123"/>
      <c r="R17" s="136"/>
      <c r="S17" s="124"/>
    </row>
    <row r="18" spans="1:19" s="58" customFormat="1" ht="21.6" customHeight="1" x14ac:dyDescent="0.25">
      <c r="A18" s="61">
        <f>A16+1</f>
        <v>6</v>
      </c>
      <c r="B18" s="61" t="str">
        <f>B16</f>
        <v>Wykonanie miejscowego wzmocnienia podtorza i wymiana nawierzchni torów nr 1 i nr 2 wraz z rozjazdami i przyległymi wstawkami rozjazdowymi w obrębie peronu</v>
      </c>
      <c r="C18" s="169" t="s">
        <v>20</v>
      </c>
      <c r="D18" s="188">
        <v>1</v>
      </c>
      <c r="E18" s="126">
        <f>F18/D18</f>
        <v>10000</v>
      </c>
      <c r="F18" s="249">
        <f>R18</f>
        <v>10000</v>
      </c>
      <c r="G18" s="250"/>
      <c r="I18" s="106"/>
      <c r="J18" s="106"/>
      <c r="K18" s="106"/>
      <c r="L18" s="106"/>
      <c r="M18" s="106"/>
      <c r="N18" s="106"/>
      <c r="O18" s="106"/>
      <c r="P18" s="132">
        <f>27850/6.629</f>
        <v>4201.2369889877809</v>
      </c>
      <c r="Q18" s="121" t="s">
        <v>180</v>
      </c>
      <c r="R18" s="137">
        <f>_xlfn.CEILING.MATH(P18*D8,1000)*2+4000</f>
        <v>10000</v>
      </c>
      <c r="S18" s="122" t="s">
        <v>179</v>
      </c>
    </row>
    <row r="19" spans="1:19" s="58" customFormat="1" ht="26.45" customHeight="1" x14ac:dyDescent="0.25">
      <c r="A19" s="65"/>
      <c r="B19" s="65" t="s">
        <v>176</v>
      </c>
      <c r="C19" s="171"/>
      <c r="D19" s="184"/>
      <c r="E19" s="68"/>
      <c r="F19" s="251"/>
      <c r="G19" s="252"/>
      <c r="I19" s="106"/>
      <c r="J19" s="106"/>
      <c r="K19" s="106"/>
      <c r="L19" s="106"/>
      <c r="M19" s="106"/>
      <c r="N19" s="106"/>
      <c r="O19" s="106"/>
      <c r="P19" s="127"/>
      <c r="Q19" s="123"/>
      <c r="R19" s="136"/>
      <c r="S19" s="124"/>
    </row>
    <row r="20" spans="1:19" s="58" customFormat="1" ht="26.25" customHeight="1" x14ac:dyDescent="0.25">
      <c r="A20" s="61">
        <f t="shared" ref="A20" si="0">A18+1</f>
        <v>7</v>
      </c>
      <c r="B20" s="61" t="str">
        <f>B18</f>
        <v>Wykonanie miejscowego wzmocnienia podtorza i wymiana nawierzchni torów nr 1 i nr 2 wraz z rozjazdami i przyległymi wstawkami rozjazdowymi w obrębie peronu</v>
      </c>
      <c r="C20" s="169" t="s">
        <v>20</v>
      </c>
      <c r="D20" s="188">
        <v>1</v>
      </c>
      <c r="E20" s="126">
        <f>F20/D20</f>
        <v>120000</v>
      </c>
      <c r="F20" s="249">
        <f>R20</f>
        <v>120000</v>
      </c>
      <c r="G20" s="250"/>
      <c r="I20" s="106"/>
      <c r="J20" s="106"/>
      <c r="K20" s="106"/>
      <c r="L20" s="106"/>
      <c r="M20" s="106"/>
      <c r="N20" s="106"/>
      <c r="O20" s="106"/>
      <c r="P20" s="132"/>
      <c r="Q20" s="121"/>
      <c r="R20" s="137">
        <f>'Rybnik Niewiadom'!E21</f>
        <v>120000</v>
      </c>
      <c r="S20" s="122" t="s">
        <v>179</v>
      </c>
    </row>
    <row r="21" spans="1:19" s="58" customFormat="1" ht="32.450000000000003" customHeight="1" x14ac:dyDescent="0.25">
      <c r="A21" s="65"/>
      <c r="B21" s="65" t="s">
        <v>177</v>
      </c>
      <c r="C21" s="171"/>
      <c r="D21" s="184"/>
      <c r="E21" s="68"/>
      <c r="F21" s="251"/>
      <c r="G21" s="252"/>
      <c r="I21" s="106"/>
      <c r="J21" s="106"/>
      <c r="K21" s="106"/>
      <c r="L21" s="106"/>
      <c r="M21" s="106"/>
      <c r="N21" s="106"/>
      <c r="O21" s="106"/>
      <c r="P21" s="127"/>
      <c r="Q21" s="123"/>
      <c r="R21" s="136"/>
      <c r="S21" s="124"/>
    </row>
    <row r="22" spans="1:19" s="119" customFormat="1" ht="11.1" customHeight="1" x14ac:dyDescent="0.25">
      <c r="A22" s="115"/>
      <c r="B22" s="116"/>
      <c r="C22" s="117"/>
      <c r="D22" s="185"/>
      <c r="E22" s="118"/>
      <c r="F22" s="247">
        <f>SUM(F8:G21)</f>
        <v>2348988.2089320389</v>
      </c>
      <c r="G22" s="248"/>
      <c r="H22" s="119" t="b">
        <f>F22=I22</f>
        <v>1</v>
      </c>
      <c r="I22" s="145">
        <f>'Rybnik Niewiadom'!E22</f>
        <v>2348988.2089320389</v>
      </c>
      <c r="J22" s="120"/>
      <c r="K22" s="120"/>
      <c r="L22" s="120"/>
      <c r="M22" s="120"/>
      <c r="N22" s="120"/>
      <c r="O22" s="120"/>
      <c r="P22" s="131"/>
      <c r="R22" s="135"/>
    </row>
    <row r="23" spans="1:19" s="58" customFormat="1" ht="11.25" x14ac:dyDescent="0.25">
      <c r="A23" s="239" t="s">
        <v>182</v>
      </c>
      <c r="B23" s="240"/>
      <c r="C23" s="240"/>
      <c r="D23" s="240"/>
      <c r="E23" s="240"/>
      <c r="F23" s="245"/>
      <c r="G23" s="246"/>
      <c r="I23" s="106"/>
      <c r="J23" s="106"/>
      <c r="K23" s="106"/>
      <c r="L23" s="106"/>
      <c r="M23" s="106"/>
      <c r="N23" s="106"/>
      <c r="O23" s="106"/>
      <c r="P23" s="130"/>
      <c r="R23" s="134"/>
    </row>
    <row r="24" spans="1:19" s="58" customFormat="1" ht="22.5" x14ac:dyDescent="0.25">
      <c r="A24" s="61">
        <v>1</v>
      </c>
      <c r="B24" s="61" t="s">
        <v>227</v>
      </c>
      <c r="C24" s="169" t="s">
        <v>20</v>
      </c>
      <c r="D24" s="188">
        <v>2</v>
      </c>
      <c r="E24" s="126">
        <f>F24/D24</f>
        <v>839760.69128656387</v>
      </c>
      <c r="F24" s="249">
        <f>R24-F34</f>
        <v>1679521.3825731277</v>
      </c>
      <c r="G24" s="250"/>
      <c r="I24" s="106"/>
      <c r="J24" s="106"/>
      <c r="K24" s="106"/>
      <c r="L24" s="106"/>
      <c r="M24" s="106"/>
      <c r="N24" s="106"/>
      <c r="O24" s="132">
        <f>150*3</f>
        <v>450</v>
      </c>
      <c r="P24" s="132">
        <f>R24/O24</f>
        <v>4176.7141834958393</v>
      </c>
      <c r="Q24" s="121" t="s">
        <v>185</v>
      </c>
      <c r="R24" s="137">
        <f>'Rybnik Niewiadom'!E4+'Rybnik Niewiadom'!E7+'Rybnik Niewiadom'!E11+'Rybnik Niewiadom'!E12+'Rybnik Niewiadom'!E27</f>
        <v>1879521.3825731277</v>
      </c>
      <c r="S24" s="122" t="s">
        <v>179</v>
      </c>
    </row>
    <row r="25" spans="1:19" s="58" customFormat="1" ht="222.6" customHeight="1" x14ac:dyDescent="0.25">
      <c r="A25" s="65"/>
      <c r="B25" s="113" t="s">
        <v>228</v>
      </c>
      <c r="C25" s="171"/>
      <c r="D25" s="184"/>
      <c r="E25" s="68"/>
      <c r="F25" s="251"/>
      <c r="G25" s="252"/>
      <c r="I25" s="106"/>
      <c r="J25" s="106"/>
      <c r="K25" s="106"/>
      <c r="L25" s="106"/>
      <c r="M25" s="106"/>
      <c r="N25" s="106"/>
      <c r="O25" s="106"/>
      <c r="P25" s="146" t="s">
        <v>193</v>
      </c>
      <c r="Q25" s="123"/>
      <c r="R25" s="136"/>
      <c r="S25" s="124"/>
    </row>
    <row r="26" spans="1:19" s="58" customFormat="1" ht="21.95" customHeight="1" x14ac:dyDescent="0.25">
      <c r="A26" s="61">
        <f t="shared" ref="A26" si="1">A24+1</f>
        <v>2</v>
      </c>
      <c r="B26" s="61" t="str">
        <f>B24</f>
        <v>Budowa dwóch peronów jednokrawędziowych (2 szt.) wraz z rozbiorką dwóch istniejących peronów (1 kpl. odnosi się do 1 szt. peronu)</v>
      </c>
      <c r="C26" s="169" t="s">
        <v>20</v>
      </c>
      <c r="D26" s="188">
        <v>2</v>
      </c>
      <c r="E26" s="126">
        <f>F26/D26</f>
        <v>83500</v>
      </c>
      <c r="F26" s="249">
        <f>R26</f>
        <v>167000</v>
      </c>
      <c r="G26" s="250"/>
      <c r="I26" s="106"/>
      <c r="J26" s="106"/>
      <c r="K26" s="106"/>
      <c r="L26" s="106"/>
      <c r="M26" s="106"/>
      <c r="N26" s="106"/>
      <c r="O26" s="106"/>
      <c r="P26" s="132"/>
      <c r="Q26" s="121"/>
      <c r="R26" s="137">
        <f>'Rybnik Niewiadom'!E10+'Rybnik Niewiadom'!E24+'Rybnik Niewiadom'!E29</f>
        <v>167000</v>
      </c>
      <c r="S26" s="122" t="s">
        <v>179</v>
      </c>
    </row>
    <row r="27" spans="1:19" s="58" customFormat="1" ht="56.25" x14ac:dyDescent="0.25">
      <c r="A27" s="65"/>
      <c r="B27" s="113" t="s">
        <v>212</v>
      </c>
      <c r="C27" s="171"/>
      <c r="D27" s="184"/>
      <c r="E27" s="68"/>
      <c r="F27" s="251"/>
      <c r="G27" s="252"/>
      <c r="I27" s="106"/>
      <c r="J27" s="106"/>
      <c r="K27" s="106"/>
      <c r="L27" s="106"/>
      <c r="M27" s="106"/>
      <c r="N27" s="106"/>
      <c r="O27" s="106"/>
      <c r="P27" s="127"/>
      <c r="Q27" s="123"/>
      <c r="R27" s="136"/>
      <c r="S27" s="124"/>
    </row>
    <row r="28" spans="1:19" s="58" customFormat="1" ht="21.95" customHeight="1" x14ac:dyDescent="0.25">
      <c r="A28" s="61">
        <f t="shared" ref="A28" si="2">A26+1</f>
        <v>3</v>
      </c>
      <c r="B28" s="61" t="str">
        <f>B26</f>
        <v>Budowa dwóch peronów jednokrawędziowych (2 szt.) wraz z rozbiorką dwóch istniejących peronów (1 kpl. odnosi się do 1 szt. peronu)</v>
      </c>
      <c r="C28" s="169" t="s">
        <v>44</v>
      </c>
      <c r="D28" s="188">
        <f>'Rybnik Niewiadom'!C28</f>
        <v>360</v>
      </c>
      <c r="E28" s="126">
        <f>F28/D28</f>
        <v>150</v>
      </c>
      <c r="F28" s="249">
        <f>R28</f>
        <v>54000</v>
      </c>
      <c r="G28" s="250"/>
      <c r="I28" s="106"/>
      <c r="J28" s="106"/>
      <c r="K28" s="106"/>
      <c r="L28" s="106"/>
      <c r="M28" s="106"/>
      <c r="N28" s="106"/>
      <c r="O28" s="106"/>
      <c r="P28" s="132"/>
      <c r="Q28" s="121"/>
      <c r="R28" s="137">
        <f>'Rybnik Niewiadom'!E28</f>
        <v>54000</v>
      </c>
      <c r="S28" s="122" t="s">
        <v>179</v>
      </c>
    </row>
    <row r="29" spans="1:19" s="58" customFormat="1" ht="22.5" x14ac:dyDescent="0.25">
      <c r="A29" s="65"/>
      <c r="B29" s="113" t="s">
        <v>229</v>
      </c>
      <c r="C29" s="171"/>
      <c r="D29" s="184"/>
      <c r="E29" s="68"/>
      <c r="F29" s="251"/>
      <c r="G29" s="252"/>
      <c r="I29" s="106"/>
      <c r="J29" s="106"/>
      <c r="K29" s="106"/>
      <c r="L29" s="106"/>
      <c r="M29" s="106"/>
      <c r="N29" s="106"/>
      <c r="O29" s="106"/>
      <c r="P29" s="127"/>
      <c r="Q29" s="123"/>
      <c r="R29" s="136"/>
      <c r="S29" s="124"/>
    </row>
    <row r="30" spans="1:19" s="58" customFormat="1" ht="22.5" x14ac:dyDescent="0.25">
      <c r="A30" s="61">
        <f>A28+1</f>
        <v>4</v>
      </c>
      <c r="B30" s="61" t="s">
        <v>200</v>
      </c>
      <c r="C30" s="169" t="s">
        <v>20</v>
      </c>
      <c r="D30" s="188">
        <v>1</v>
      </c>
      <c r="E30" s="126">
        <f>F30/D30</f>
        <v>30000</v>
      </c>
      <c r="F30" s="249">
        <f>R30+26400</f>
        <v>30000</v>
      </c>
      <c r="G30" s="250"/>
      <c r="I30" s="106"/>
      <c r="J30" s="106"/>
      <c r="K30" s="106"/>
      <c r="L30" s="106"/>
      <c r="M30" s="106"/>
      <c r="N30" s="106"/>
      <c r="O30" s="106"/>
      <c r="P30" s="132"/>
      <c r="Q30" s="121"/>
      <c r="R30" s="137">
        <f>'Rybnik Niewiadom'!E9</f>
        <v>3600</v>
      </c>
      <c r="S30" s="122" t="s">
        <v>179</v>
      </c>
    </row>
    <row r="31" spans="1:19" s="58" customFormat="1" ht="21.95" customHeight="1" x14ac:dyDescent="0.25">
      <c r="A31" s="65"/>
      <c r="B31" s="113" t="s">
        <v>230</v>
      </c>
      <c r="C31" s="171"/>
      <c r="D31" s="184"/>
      <c r="E31" s="68"/>
      <c r="F31" s="251"/>
      <c r="G31" s="252"/>
      <c r="I31" s="106"/>
      <c r="J31" s="106"/>
      <c r="K31" s="106"/>
      <c r="L31" s="106"/>
      <c r="M31" s="106"/>
      <c r="N31" s="106"/>
      <c r="O31" s="106"/>
      <c r="P31" s="127"/>
      <c r="Q31" s="123"/>
      <c r="R31" s="136"/>
      <c r="S31" s="124"/>
    </row>
    <row r="32" spans="1:19" s="58" customFormat="1" ht="22.5" x14ac:dyDescent="0.25">
      <c r="A32" s="61">
        <f>A30+1</f>
        <v>5</v>
      </c>
      <c r="B32" s="61" t="str">
        <f>B30</f>
        <v>Przebudowa układu dróg dojścia do peronu, zabudowa pochylni, parkingów dla stojaków rowerowych</v>
      </c>
      <c r="C32" s="169" t="s">
        <v>20</v>
      </c>
      <c r="D32" s="188">
        <v>1</v>
      </c>
      <c r="E32" s="126">
        <f>F32/D32</f>
        <v>221749.07642839805</v>
      </c>
      <c r="F32" s="249">
        <f>R32+R33</f>
        <v>221749.07642839805</v>
      </c>
      <c r="G32" s="250"/>
      <c r="I32" s="106"/>
      <c r="J32" s="106"/>
      <c r="K32" s="106"/>
      <c r="L32" s="106"/>
      <c r="M32" s="106"/>
      <c r="N32" s="106"/>
      <c r="O32" s="106"/>
      <c r="P32" s="132"/>
      <c r="Q32" s="121"/>
      <c r="R32" s="137">
        <f>'Rybnik Niewiadom'!E36</f>
        <v>146090.97642839805</v>
      </c>
      <c r="S32" s="122" t="s">
        <v>179</v>
      </c>
    </row>
    <row r="33" spans="1:19" s="58" customFormat="1" ht="93" customHeight="1" x14ac:dyDescent="0.25">
      <c r="A33" s="65"/>
      <c r="B33" s="113" t="s">
        <v>231</v>
      </c>
      <c r="C33" s="171"/>
      <c r="D33" s="184"/>
      <c r="E33" s="68"/>
      <c r="F33" s="251"/>
      <c r="G33" s="252"/>
      <c r="I33" s="106"/>
      <c r="J33" s="106"/>
      <c r="K33" s="106"/>
      <c r="L33" s="106"/>
      <c r="M33" s="106"/>
      <c r="N33" s="106"/>
      <c r="O33" s="106"/>
      <c r="P33" s="127"/>
      <c r="Q33" s="123"/>
      <c r="R33" s="137">
        <f>'Rybnik Niewiadom'!E42</f>
        <v>75658.100000000006</v>
      </c>
      <c r="S33" s="122" t="s">
        <v>179</v>
      </c>
    </row>
    <row r="34" spans="1:19" s="58" customFormat="1" ht="11.25" x14ac:dyDescent="0.25">
      <c r="A34" s="61">
        <f t="shared" ref="A34" si="3">A32+1</f>
        <v>6</v>
      </c>
      <c r="B34" s="61" t="s">
        <v>191</v>
      </c>
      <c r="C34" s="169" t="s">
        <v>20</v>
      </c>
      <c r="D34" s="188">
        <v>1</v>
      </c>
      <c r="E34" s="126">
        <f>F34/D34</f>
        <v>200000</v>
      </c>
      <c r="F34" s="249">
        <v>200000</v>
      </c>
      <c r="G34" s="250"/>
      <c r="I34" s="106"/>
      <c r="J34" s="106"/>
      <c r="K34" s="106"/>
      <c r="L34" s="106"/>
      <c r="M34" s="106"/>
      <c r="N34" s="106">
        <f>210*(1.2+1)*0.1+210*2.5*0.06+190*(1.2+1)*0.1*2+190*1.2*0.06</f>
        <v>174.98000000000005</v>
      </c>
      <c r="O34" s="106"/>
      <c r="P34" s="132" t="s">
        <v>187</v>
      </c>
      <c r="Q34" s="121" t="s">
        <v>188</v>
      </c>
      <c r="R34" s="137"/>
      <c r="S34" s="122"/>
    </row>
    <row r="35" spans="1:19" s="58" customFormat="1" ht="11.25" x14ac:dyDescent="0.25">
      <c r="A35" s="65"/>
      <c r="B35" s="65" t="s">
        <v>192</v>
      </c>
      <c r="C35" s="171"/>
      <c r="D35" s="184"/>
      <c r="E35" s="68"/>
      <c r="F35" s="251"/>
      <c r="G35" s="252"/>
      <c r="I35" s="106"/>
      <c r="J35" s="106"/>
      <c r="K35" s="106"/>
      <c r="L35" s="106"/>
      <c r="M35" s="106"/>
      <c r="N35" s="147">
        <f>7600/7</f>
        <v>1085.7142857142858</v>
      </c>
      <c r="O35" s="106"/>
      <c r="P35" s="127" t="s">
        <v>189</v>
      </c>
      <c r="Q35" s="123"/>
      <c r="R35" s="137">
        <f>N34*N35*1.1</f>
        <v>208976.11428571437</v>
      </c>
      <c r="S35" s="122" t="s">
        <v>179</v>
      </c>
    </row>
    <row r="36" spans="1:19" s="58" customFormat="1" ht="11.25" x14ac:dyDescent="0.25">
      <c r="A36" s="115"/>
      <c r="B36" s="116"/>
      <c r="C36" s="117"/>
      <c r="D36" s="185"/>
      <c r="E36" s="118"/>
      <c r="F36" s="247">
        <f>SUM(F24:G35)</f>
        <v>2352270.4590015258</v>
      </c>
      <c r="G36" s="248"/>
      <c r="H36" s="119" t="b">
        <f>F36=I36</f>
        <v>0</v>
      </c>
      <c r="I36" s="145">
        <f>'Rybnik Niewiadom'!E4+'Rybnik Niewiadom'!E13+'Rybnik Niewiadom'!E25+'Rybnik Niewiadom'!E30+'Rybnik Niewiadom'!E36+'Rybnik Niewiadom'!E42</f>
        <v>2325870.4590015258</v>
      </c>
      <c r="J36" s="106"/>
      <c r="K36" s="106"/>
      <c r="L36" s="106"/>
      <c r="M36" s="106"/>
      <c r="N36" s="147"/>
      <c r="O36" s="106"/>
      <c r="P36" s="139"/>
      <c r="Q36" s="108"/>
      <c r="R36" s="138"/>
      <c r="S36" s="108"/>
    </row>
    <row r="37" spans="1:19" s="58" customFormat="1" ht="11.25" customHeight="1" x14ac:dyDescent="0.25">
      <c r="A37" s="239" t="s">
        <v>88</v>
      </c>
      <c r="B37" s="240"/>
      <c r="C37" s="240"/>
      <c r="D37" s="240"/>
      <c r="E37" s="240"/>
      <c r="F37" s="245"/>
      <c r="G37" s="246"/>
      <c r="H37" s="119"/>
      <c r="I37" s="145"/>
      <c r="J37" s="106"/>
      <c r="K37" s="106"/>
      <c r="L37" s="106"/>
      <c r="M37" s="106"/>
      <c r="N37" s="147"/>
      <c r="O37" s="106"/>
      <c r="P37" s="139"/>
      <c r="Q37" s="108"/>
      <c r="R37" s="138"/>
      <c r="S37" s="108"/>
    </row>
    <row r="38" spans="1:19" s="58" customFormat="1" ht="33.75" x14ac:dyDescent="0.25">
      <c r="A38" s="61">
        <f>A22+1</f>
        <v>1</v>
      </c>
      <c r="B38" s="61" t="s">
        <v>89</v>
      </c>
      <c r="C38" s="169" t="s">
        <v>20</v>
      </c>
      <c r="D38" s="188">
        <v>2</v>
      </c>
      <c r="E38" s="126">
        <f>F38/D38</f>
        <v>90000</v>
      </c>
      <c r="F38" s="249">
        <f>R38</f>
        <v>180000</v>
      </c>
      <c r="G38" s="250"/>
      <c r="I38" s="106"/>
      <c r="J38" s="106"/>
      <c r="K38" s="106"/>
      <c r="L38" s="106"/>
      <c r="M38" s="106"/>
      <c r="N38" s="106"/>
      <c r="O38" s="106"/>
      <c r="P38" s="132"/>
      <c r="Q38" s="121"/>
      <c r="R38" s="137">
        <f>'Rybnik Niewiadom'!E44</f>
        <v>180000</v>
      </c>
      <c r="S38" s="122" t="s">
        <v>179</v>
      </c>
    </row>
    <row r="39" spans="1:19" s="58" customFormat="1" ht="101.25" customHeight="1" x14ac:dyDescent="0.25">
      <c r="A39" s="65"/>
      <c r="B39" s="113" t="s">
        <v>232</v>
      </c>
      <c r="C39" s="171"/>
      <c r="D39" s="184"/>
      <c r="E39" s="68"/>
      <c r="F39" s="251"/>
      <c r="G39" s="252"/>
      <c r="I39" s="106"/>
      <c r="J39" s="106"/>
      <c r="K39" s="106"/>
      <c r="L39" s="106"/>
      <c r="M39" s="106"/>
      <c r="N39" s="106"/>
      <c r="O39" s="106"/>
      <c r="P39" s="127"/>
      <c r="Q39" s="123"/>
      <c r="R39" s="136"/>
      <c r="S39" s="124"/>
    </row>
    <row r="40" spans="1:19" s="58" customFormat="1" ht="22.5" customHeight="1" x14ac:dyDescent="0.25">
      <c r="A40" s="61">
        <f t="shared" ref="A40:A52" si="4">A38+1</f>
        <v>2</v>
      </c>
      <c r="B40" s="61" t="s">
        <v>116</v>
      </c>
      <c r="C40" s="169" t="s">
        <v>20</v>
      </c>
      <c r="D40" s="188">
        <v>1</v>
      </c>
      <c r="E40" s="126">
        <f>F40/D40</f>
        <v>440000</v>
      </c>
      <c r="F40" s="249">
        <f>R40+40000</f>
        <v>440000</v>
      </c>
      <c r="G40" s="250"/>
      <c r="I40" s="106"/>
      <c r="J40" s="106"/>
      <c r="K40" s="106"/>
      <c r="L40" s="106"/>
      <c r="M40" s="106"/>
      <c r="N40" s="106"/>
      <c r="O40" s="106"/>
      <c r="P40" s="132"/>
      <c r="Q40" s="121"/>
      <c r="R40" s="137">
        <f>'Rybnik Niewiadom'!E45</f>
        <v>400000</v>
      </c>
      <c r="S40" s="122" t="s">
        <v>179</v>
      </c>
    </row>
    <row r="41" spans="1:19" s="58" customFormat="1" ht="117" customHeight="1" x14ac:dyDescent="0.25">
      <c r="A41" s="65"/>
      <c r="B41" s="113" t="s">
        <v>233</v>
      </c>
      <c r="C41" s="171"/>
      <c r="D41" s="184"/>
      <c r="E41" s="68"/>
      <c r="F41" s="251"/>
      <c r="G41" s="252"/>
      <c r="I41" s="106"/>
      <c r="J41" s="106"/>
      <c r="K41" s="106"/>
      <c r="L41" s="106"/>
      <c r="M41" s="106"/>
      <c r="N41" s="106"/>
      <c r="O41" s="106"/>
      <c r="P41" s="127"/>
      <c r="Q41" s="123"/>
      <c r="R41" s="136"/>
      <c r="S41" s="124"/>
    </row>
    <row r="42" spans="1:19" s="58" customFormat="1" ht="11.25" x14ac:dyDescent="0.25">
      <c r="A42" s="115"/>
      <c r="B42" s="116"/>
      <c r="C42" s="117"/>
      <c r="D42" s="185"/>
      <c r="E42" s="118"/>
      <c r="F42" s="247">
        <f>SUM(F38:G41)</f>
        <v>620000</v>
      </c>
      <c r="G42" s="248"/>
      <c r="H42" s="119" t="b">
        <f>F42=I42</f>
        <v>0</v>
      </c>
      <c r="I42" s="145">
        <f>'Rybnik Niewiadom'!E46</f>
        <v>580000</v>
      </c>
      <c r="J42" s="106"/>
      <c r="K42" s="106"/>
      <c r="L42" s="106"/>
      <c r="M42" s="106"/>
      <c r="N42" s="147"/>
      <c r="O42" s="106"/>
      <c r="P42" s="139"/>
      <c r="Q42" s="108"/>
      <c r="R42" s="138"/>
      <c r="S42" s="108"/>
    </row>
    <row r="43" spans="1:19" s="58" customFormat="1" ht="11.25" customHeight="1" x14ac:dyDescent="0.25">
      <c r="A43" s="239" t="s">
        <v>91</v>
      </c>
      <c r="B43" s="240"/>
      <c r="C43" s="240"/>
      <c r="D43" s="240"/>
      <c r="E43" s="240"/>
      <c r="F43" s="245"/>
      <c r="G43" s="246"/>
      <c r="H43" s="119"/>
      <c r="I43" s="145"/>
      <c r="J43" s="106"/>
      <c r="K43" s="106"/>
      <c r="L43" s="106"/>
      <c r="M43" s="106"/>
      <c r="N43" s="147"/>
      <c r="O43" s="106"/>
      <c r="P43" s="139"/>
      <c r="Q43" s="108"/>
      <c r="R43" s="138"/>
      <c r="S43" s="108"/>
    </row>
    <row r="44" spans="1:19" s="58" customFormat="1" ht="11.1" customHeight="1" x14ac:dyDescent="0.25">
      <c r="A44" s="61">
        <f t="shared" ref="A44" si="5">A42+1</f>
        <v>1</v>
      </c>
      <c r="B44" s="61" t="s">
        <v>204</v>
      </c>
      <c r="C44" s="176" t="s">
        <v>18</v>
      </c>
      <c r="D44" s="188">
        <f>2*0.15+2*0.1</f>
        <v>0.5</v>
      </c>
      <c r="E44" s="126">
        <f>F44/D44</f>
        <v>60000</v>
      </c>
      <c r="F44" s="249">
        <v>30000</v>
      </c>
      <c r="G44" s="250"/>
      <c r="H44" s="58">
        <v>160000</v>
      </c>
      <c r="I44" s="106"/>
      <c r="J44" s="106"/>
      <c r="K44" s="106"/>
      <c r="L44" s="106"/>
      <c r="M44" s="106"/>
      <c r="N44" s="106"/>
      <c r="O44" s="106"/>
      <c r="P44" s="132"/>
      <c r="Q44" s="121"/>
      <c r="R44" s="137">
        <f>'Rybnik Niewiadom'!E48</f>
        <v>120000</v>
      </c>
      <c r="S44" s="122" t="s">
        <v>179</v>
      </c>
    </row>
    <row r="45" spans="1:19" s="58" customFormat="1" ht="11.25" x14ac:dyDescent="0.25">
      <c r="A45" s="65"/>
      <c r="B45" s="65"/>
      <c r="C45" s="177"/>
      <c r="D45" s="184"/>
      <c r="E45" s="68"/>
      <c r="F45" s="251"/>
      <c r="G45" s="252"/>
      <c r="I45" s="106"/>
      <c r="J45" s="106"/>
      <c r="K45" s="106"/>
      <c r="L45" s="106"/>
      <c r="M45" s="106"/>
      <c r="N45" s="106"/>
      <c r="O45" s="106"/>
      <c r="P45" s="127"/>
      <c r="Q45" s="123"/>
      <c r="R45" s="136"/>
      <c r="S45" s="124"/>
    </row>
    <row r="46" spans="1:19" s="58" customFormat="1" ht="11.25" x14ac:dyDescent="0.25">
      <c r="A46" s="61">
        <f>A44+1</f>
        <v>2</v>
      </c>
      <c r="B46" s="61" t="s">
        <v>202</v>
      </c>
      <c r="C46" s="176" t="s">
        <v>20</v>
      </c>
      <c r="D46" s="188">
        <v>1</v>
      </c>
      <c r="E46" s="126">
        <f>F46/D46</f>
        <v>25000</v>
      </c>
      <c r="F46" s="249">
        <v>25000</v>
      </c>
      <c r="G46" s="250"/>
      <c r="I46" s="106"/>
      <c r="J46" s="106"/>
      <c r="K46" s="106"/>
      <c r="L46" s="106"/>
      <c r="M46" s="106"/>
      <c r="N46" s="106"/>
      <c r="O46" s="106"/>
      <c r="P46" s="143"/>
      <c r="Q46" s="108"/>
      <c r="R46" s="138"/>
      <c r="S46" s="144"/>
    </row>
    <row r="47" spans="1:19" s="58" customFormat="1" ht="11.25" x14ac:dyDescent="0.25">
      <c r="A47" s="65"/>
      <c r="B47" s="65"/>
      <c r="C47" s="177"/>
      <c r="D47" s="184"/>
      <c r="E47" s="68"/>
      <c r="F47" s="251"/>
      <c r="G47" s="252"/>
      <c r="I47" s="106"/>
      <c r="J47" s="106"/>
      <c r="K47" s="106"/>
      <c r="L47" s="106"/>
      <c r="M47" s="106"/>
      <c r="N47" s="106"/>
      <c r="O47" s="106"/>
      <c r="P47" s="143"/>
      <c r="Q47" s="108"/>
      <c r="R47" s="138"/>
      <c r="S47" s="144"/>
    </row>
    <row r="48" spans="1:19" s="58" customFormat="1" ht="22.5" x14ac:dyDescent="0.25">
      <c r="A48" s="61">
        <f>A46+1</f>
        <v>3</v>
      </c>
      <c r="B48" s="61" t="s">
        <v>203</v>
      </c>
      <c r="C48" s="176" t="s">
        <v>20</v>
      </c>
      <c r="D48" s="188">
        <v>1</v>
      </c>
      <c r="E48" s="126">
        <f>F48/D48</f>
        <v>35000</v>
      </c>
      <c r="F48" s="249">
        <v>35000</v>
      </c>
      <c r="G48" s="250"/>
      <c r="I48" s="106"/>
      <c r="J48" s="106"/>
      <c r="K48" s="106"/>
      <c r="L48" s="106"/>
      <c r="M48" s="106"/>
      <c r="N48" s="106"/>
      <c r="O48" s="106"/>
      <c r="P48" s="132"/>
      <c r="Q48" s="121"/>
      <c r="R48" s="137">
        <f>'Rybnik Niewiadom'!E49</f>
        <v>40000</v>
      </c>
      <c r="S48" s="122" t="s">
        <v>179</v>
      </c>
    </row>
    <row r="49" spans="1:19" s="58" customFormat="1" ht="11.25" x14ac:dyDescent="0.25">
      <c r="A49" s="65"/>
      <c r="B49" s="65"/>
      <c r="C49" s="171"/>
      <c r="D49" s="184"/>
      <c r="E49" s="68"/>
      <c r="F49" s="251"/>
      <c r="G49" s="252"/>
      <c r="I49" s="106"/>
      <c r="J49" s="106"/>
      <c r="K49" s="106"/>
      <c r="L49" s="106"/>
      <c r="M49" s="106"/>
      <c r="N49" s="106"/>
      <c r="O49" s="106"/>
      <c r="P49" s="127"/>
      <c r="Q49" s="123"/>
      <c r="R49" s="136"/>
      <c r="S49" s="124"/>
    </row>
    <row r="50" spans="1:19" s="58" customFormat="1" ht="11.25" x14ac:dyDescent="0.25">
      <c r="A50" s="115"/>
      <c r="B50" s="116"/>
      <c r="C50" s="117"/>
      <c r="D50" s="185"/>
      <c r="E50" s="118"/>
      <c r="F50" s="247">
        <f>SUM(F44:G49)</f>
        <v>90000</v>
      </c>
      <c r="G50" s="248"/>
      <c r="H50" s="119" t="b">
        <f>F50=I50</f>
        <v>0</v>
      </c>
      <c r="I50" s="145">
        <f>'Rybnik Niewiadom'!E50</f>
        <v>160000</v>
      </c>
      <c r="J50" s="106"/>
      <c r="K50" s="106"/>
      <c r="L50" s="106"/>
      <c r="M50" s="106"/>
      <c r="N50" s="147"/>
      <c r="O50" s="106"/>
      <c r="P50" s="139"/>
      <c r="Q50" s="108"/>
      <c r="R50" s="138"/>
      <c r="S50" s="108"/>
    </row>
    <row r="51" spans="1:19" s="58" customFormat="1" ht="11.25" customHeight="1" x14ac:dyDescent="0.25">
      <c r="A51" s="239" t="s">
        <v>194</v>
      </c>
      <c r="B51" s="240"/>
      <c r="C51" s="240"/>
      <c r="D51" s="240"/>
      <c r="E51" s="240"/>
      <c r="F51" s="245"/>
      <c r="G51" s="246"/>
      <c r="H51" s="119"/>
      <c r="I51" s="145"/>
      <c r="J51" s="106"/>
      <c r="K51" s="106"/>
      <c r="L51" s="106"/>
      <c r="M51" s="106"/>
      <c r="N51" s="147"/>
      <c r="O51" s="106"/>
      <c r="P51" s="139"/>
      <c r="Q51" s="108"/>
      <c r="R51" s="138"/>
      <c r="S51" s="108"/>
    </row>
    <row r="52" spans="1:19" s="58" customFormat="1" ht="11.25" x14ac:dyDescent="0.25">
      <c r="A52" s="61">
        <f t="shared" si="4"/>
        <v>1</v>
      </c>
      <c r="B52" s="61" t="s">
        <v>195</v>
      </c>
      <c r="C52" s="169" t="s">
        <v>20</v>
      </c>
      <c r="D52" s="188">
        <v>1</v>
      </c>
      <c r="E52" s="126">
        <f>F52/D52</f>
        <v>80000</v>
      </c>
      <c r="F52" s="249">
        <f>R52</f>
        <v>80000</v>
      </c>
      <c r="G52" s="250"/>
      <c r="I52" s="106"/>
      <c r="J52" s="106"/>
      <c r="K52" s="106"/>
      <c r="L52" s="106"/>
      <c r="M52" s="106"/>
      <c r="N52" s="106"/>
      <c r="O52" s="106"/>
      <c r="P52" s="132"/>
      <c r="Q52" s="121"/>
      <c r="R52" s="137">
        <f>'Rybnik Niewiadom'!E53</f>
        <v>80000</v>
      </c>
      <c r="S52" s="122" t="s">
        <v>179</v>
      </c>
    </row>
    <row r="53" spans="1:19" s="58" customFormat="1" ht="11.25" x14ac:dyDescent="0.25">
      <c r="A53" s="65"/>
      <c r="B53" s="65"/>
      <c r="C53" s="171"/>
      <c r="D53" s="184"/>
      <c r="E53" s="68"/>
      <c r="F53" s="251"/>
      <c r="G53" s="252"/>
      <c r="I53" s="106"/>
      <c r="J53" s="106"/>
      <c r="K53" s="106"/>
      <c r="L53" s="106"/>
      <c r="M53" s="106"/>
      <c r="N53" s="106"/>
      <c r="O53" s="106"/>
      <c r="P53" s="127"/>
      <c r="Q53" s="123"/>
      <c r="R53" s="136"/>
      <c r="S53" s="124"/>
    </row>
    <row r="54" spans="1:19" s="58" customFormat="1" ht="11.25" x14ac:dyDescent="0.25">
      <c r="A54" s="115"/>
      <c r="B54" s="116"/>
      <c r="C54" s="117"/>
      <c r="D54" s="185"/>
      <c r="E54" s="118"/>
      <c r="F54" s="247">
        <f>SUM(F52:G53)</f>
        <v>80000</v>
      </c>
      <c r="G54" s="248"/>
      <c r="H54" s="119" t="b">
        <f>F54=I54</f>
        <v>1</v>
      </c>
      <c r="I54" s="145">
        <f>'Rybnik Niewiadom'!E53</f>
        <v>80000</v>
      </c>
      <c r="J54" s="106"/>
      <c r="K54" s="106"/>
      <c r="L54" s="106"/>
      <c r="M54" s="106"/>
      <c r="N54" s="147"/>
      <c r="O54" s="106"/>
      <c r="P54" s="139"/>
      <c r="Q54" s="108"/>
      <c r="R54" s="138"/>
      <c r="S54" s="108"/>
    </row>
    <row r="55" spans="1:19" s="58" customFormat="1" ht="11.1" customHeight="1" x14ac:dyDescent="0.25">
      <c r="A55" s="239" t="s">
        <v>196</v>
      </c>
      <c r="B55" s="240"/>
      <c r="C55" s="240"/>
      <c r="D55" s="240"/>
      <c r="E55" s="240"/>
      <c r="F55" s="245"/>
      <c r="G55" s="246"/>
      <c r="I55" s="106"/>
      <c r="J55" s="106"/>
      <c r="K55" s="106"/>
      <c r="L55" s="106"/>
      <c r="M55" s="106"/>
      <c r="N55" s="106"/>
      <c r="O55" s="106"/>
      <c r="P55" s="130"/>
      <c r="R55" s="134"/>
    </row>
    <row r="56" spans="1:19" s="150" customFormat="1" ht="12" x14ac:dyDescent="0.25">
      <c r="A56" s="241"/>
      <c r="B56" s="151" t="s">
        <v>96</v>
      </c>
      <c r="C56" s="152" t="s">
        <v>137</v>
      </c>
      <c r="D56" s="189" t="s">
        <v>197</v>
      </c>
      <c r="E56" s="153"/>
      <c r="F56" s="257">
        <f>ROUND(F6,2)</f>
        <v>213000</v>
      </c>
      <c r="G56" s="256"/>
      <c r="I56" s="158"/>
      <c r="J56" s="158"/>
      <c r="K56" s="158"/>
      <c r="L56" s="158"/>
      <c r="M56" s="158"/>
      <c r="N56" s="158"/>
      <c r="O56" s="158"/>
      <c r="P56" s="155"/>
      <c r="R56" s="156"/>
    </row>
    <row r="57" spans="1:19" s="150" customFormat="1" ht="12" x14ac:dyDescent="0.25">
      <c r="A57" s="242"/>
      <c r="B57" s="157" t="s">
        <v>97</v>
      </c>
      <c r="C57" s="152" t="s">
        <v>137</v>
      </c>
      <c r="D57" s="189" t="s">
        <v>198</v>
      </c>
      <c r="E57" s="153"/>
      <c r="F57" s="257">
        <f>ROUND(F22+F36+F42+F50+F54,2)</f>
        <v>5491258.6699999999</v>
      </c>
      <c r="G57" s="256"/>
      <c r="I57" s="158"/>
      <c r="J57" s="158"/>
      <c r="K57" s="158"/>
      <c r="L57" s="158"/>
      <c r="M57" s="158"/>
      <c r="N57" s="158"/>
      <c r="O57" s="158"/>
      <c r="P57" s="155"/>
      <c r="R57" s="156"/>
    </row>
    <row r="58" spans="1:19" s="150" customFormat="1" ht="36" x14ac:dyDescent="0.25">
      <c r="A58" s="242"/>
      <c r="B58" s="157" t="s">
        <v>140</v>
      </c>
      <c r="C58" s="152" t="s">
        <v>137</v>
      </c>
      <c r="D58" s="190" t="s">
        <v>206</v>
      </c>
      <c r="E58" s="153"/>
      <c r="F58" s="257">
        <f>ROUND(0.05*(F56+F57),2)</f>
        <v>285212.93</v>
      </c>
      <c r="G58" s="256"/>
      <c r="I58" s="158"/>
      <c r="J58" s="158"/>
      <c r="K58" s="158"/>
      <c r="L58" s="158"/>
      <c r="M58" s="158"/>
      <c r="N58" s="158"/>
      <c r="O58" s="158"/>
      <c r="P58" s="155"/>
      <c r="R58" s="156"/>
    </row>
    <row r="59" spans="1:19" s="150" customFormat="1" ht="12" x14ac:dyDescent="0.25">
      <c r="A59" s="242"/>
      <c r="B59" s="244" t="s">
        <v>63</v>
      </c>
      <c r="C59" s="244"/>
      <c r="D59" s="244"/>
      <c r="E59" s="244"/>
      <c r="F59" s="255">
        <f>F56+F57+F58</f>
        <v>5989471.5999999996</v>
      </c>
      <c r="G59" s="244"/>
      <c r="H59" s="119" t="b">
        <f>F59=I59</f>
        <v>0</v>
      </c>
      <c r="I59" s="145">
        <f>'Rybnik Niewiadom'!E73</f>
        <v>5993251.5999999996</v>
      </c>
      <c r="J59" s="158"/>
      <c r="K59" s="158"/>
      <c r="L59" s="158"/>
      <c r="M59" s="158"/>
      <c r="N59" s="158"/>
      <c r="O59" s="158"/>
      <c r="P59" s="155"/>
      <c r="R59" s="156"/>
    </row>
    <row r="60" spans="1:19" s="150" customFormat="1" ht="12" x14ac:dyDescent="0.25">
      <c r="A60" s="243"/>
      <c r="B60" s="256" t="s">
        <v>64</v>
      </c>
      <c r="C60" s="256"/>
      <c r="D60" s="256"/>
      <c r="E60" s="256"/>
      <c r="F60" s="257">
        <f>SUM(F59*1.23)</f>
        <v>7367050.067999999</v>
      </c>
      <c r="G60" s="257"/>
      <c r="I60" s="158"/>
      <c r="J60" s="158"/>
      <c r="K60" s="158"/>
      <c r="L60" s="158"/>
      <c r="M60" s="158"/>
      <c r="N60" s="158"/>
      <c r="O60" s="158"/>
      <c r="P60" s="155"/>
      <c r="R60" s="156"/>
    </row>
    <row r="61" spans="1:19" s="150" customFormat="1" ht="15" customHeight="1" x14ac:dyDescent="0.25">
      <c r="C61" s="259" t="s">
        <v>220</v>
      </c>
      <c r="D61" s="259"/>
      <c r="E61" s="259"/>
      <c r="F61" s="259"/>
      <c r="G61" s="259"/>
      <c r="I61" s="158"/>
      <c r="J61" s="158"/>
      <c r="K61" s="158"/>
      <c r="L61" s="158"/>
      <c r="M61" s="158"/>
      <c r="N61" s="158"/>
      <c r="O61" s="158"/>
      <c r="P61" s="155"/>
      <c r="R61" s="156"/>
    </row>
    <row r="62" spans="1:19" s="150" customFormat="1" ht="12" x14ac:dyDescent="0.25">
      <c r="B62" s="159" t="s">
        <v>51</v>
      </c>
      <c r="D62" s="191"/>
      <c r="I62" s="158"/>
      <c r="J62" s="158"/>
      <c r="K62" s="158"/>
      <c r="L62" s="158"/>
      <c r="M62" s="158"/>
      <c r="N62" s="158"/>
      <c r="O62" s="158"/>
      <c r="P62" s="155"/>
      <c r="R62" s="156"/>
    </row>
    <row r="63" spans="1:19" s="150" customFormat="1" ht="15" customHeight="1" x14ac:dyDescent="0.25">
      <c r="B63" s="258" t="s">
        <v>98</v>
      </c>
      <c r="C63" s="258"/>
      <c r="D63" s="258"/>
      <c r="E63" s="258"/>
      <c r="F63" s="258"/>
      <c r="G63" s="258"/>
      <c r="H63" s="160"/>
      <c r="I63" s="158"/>
      <c r="J63" s="158"/>
      <c r="K63" s="158"/>
      <c r="L63" s="158"/>
      <c r="M63" s="158"/>
      <c r="N63" s="158"/>
      <c r="O63" s="158"/>
      <c r="P63" s="155"/>
      <c r="R63" s="156"/>
    </row>
  </sheetData>
  <mergeCells count="72">
    <mergeCell ref="C61:G61"/>
    <mergeCell ref="F46:G46"/>
    <mergeCell ref="F47:G47"/>
    <mergeCell ref="B63:G63"/>
    <mergeCell ref="F52:G52"/>
    <mergeCell ref="F53:G53"/>
    <mergeCell ref="F54:G54"/>
    <mergeCell ref="A55:E55"/>
    <mergeCell ref="F55:G55"/>
    <mergeCell ref="A56:A60"/>
    <mergeCell ref="F56:G56"/>
    <mergeCell ref="F57:G57"/>
    <mergeCell ref="F58:G58"/>
    <mergeCell ref="B59:E59"/>
    <mergeCell ref="F59:G59"/>
    <mergeCell ref="B60:E60"/>
    <mergeCell ref="F60:G60"/>
    <mergeCell ref="A37:E37"/>
    <mergeCell ref="F37:G37"/>
    <mergeCell ref="A51:E51"/>
    <mergeCell ref="F51:G51"/>
    <mergeCell ref="F39:G39"/>
    <mergeCell ref="F40:G40"/>
    <mergeCell ref="F41:G41"/>
    <mergeCell ref="F42:G42"/>
    <mergeCell ref="A43:E43"/>
    <mergeCell ref="F43:G43"/>
    <mergeCell ref="F44:G44"/>
    <mergeCell ref="F45:G45"/>
    <mergeCell ref="F48:G48"/>
    <mergeCell ref="F49:G49"/>
    <mergeCell ref="F50:G50"/>
    <mergeCell ref="F38:G38"/>
    <mergeCell ref="F36:G36"/>
    <mergeCell ref="A23:E23"/>
    <mergeCell ref="F23:G23"/>
    <mergeCell ref="F24:G24"/>
    <mergeCell ref="F25:G25"/>
    <mergeCell ref="F26:G26"/>
    <mergeCell ref="F27:G27"/>
    <mergeCell ref="F28:G28"/>
    <mergeCell ref="F29:G29"/>
    <mergeCell ref="F30:G30"/>
    <mergeCell ref="F31:G31"/>
    <mergeCell ref="F32:G32"/>
    <mergeCell ref="F20:G20"/>
    <mergeCell ref="F21:G21"/>
    <mergeCell ref="F33:G33"/>
    <mergeCell ref="F34:G34"/>
    <mergeCell ref="F35:G35"/>
    <mergeCell ref="F22:G22"/>
    <mergeCell ref="F11:G11"/>
    <mergeCell ref="F12:G12"/>
    <mergeCell ref="F13:G13"/>
    <mergeCell ref="F14:G14"/>
    <mergeCell ref="F15:G15"/>
    <mergeCell ref="F17:G17"/>
    <mergeCell ref="F18:G18"/>
    <mergeCell ref="F19:G19"/>
    <mergeCell ref="F5:G5"/>
    <mergeCell ref="A1:G1"/>
    <mergeCell ref="F2:G2"/>
    <mergeCell ref="A3:E3"/>
    <mergeCell ref="F3:G3"/>
    <mergeCell ref="F4:G4"/>
    <mergeCell ref="F16:G16"/>
    <mergeCell ref="F6:G6"/>
    <mergeCell ref="A7:E7"/>
    <mergeCell ref="F7:G7"/>
    <mergeCell ref="F8:G8"/>
    <mergeCell ref="F9:G9"/>
    <mergeCell ref="F10:G10"/>
  </mergeCells>
  <pageMargins left="0.70866141732283472" right="0.70866141732283472" top="0.74803149606299213" bottom="0.74803149606299213" header="0.31496062992125984" footer="0.31496062992125984"/>
  <pageSetup paperSize="9" scale="9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R78"/>
  <sheetViews>
    <sheetView view="pageBreakPreview" topLeftCell="A16" zoomScale="175" zoomScaleNormal="130" zoomScaleSheetLayoutView="175" workbookViewId="0">
      <selection activeCell="E22" sqref="E22:F22"/>
    </sheetView>
  </sheetViews>
  <sheetFormatPr defaultRowHeight="15" x14ac:dyDescent="0.25"/>
  <cols>
    <col min="1" max="1" width="51.42578125" customWidth="1"/>
    <col min="3" max="3" width="8" customWidth="1"/>
    <col min="4" max="4" width="10.5703125" customWidth="1"/>
    <col min="5" max="5" width="5" customWidth="1"/>
    <col min="7" max="7" width="15.85546875" customWidth="1"/>
    <col min="8" max="8" width="9.140625" style="109"/>
  </cols>
  <sheetData>
    <row r="1" spans="1:10" x14ac:dyDescent="0.25">
      <c r="A1" s="297" t="s">
        <v>113</v>
      </c>
      <c r="B1" s="297"/>
      <c r="C1" s="297"/>
      <c r="D1" s="297"/>
      <c r="E1" s="297"/>
      <c r="F1" s="297"/>
      <c r="H1" s="109" t="s">
        <v>167</v>
      </c>
    </row>
    <row r="2" spans="1:10" s="36" customFormat="1" ht="27.75" customHeight="1" x14ac:dyDescent="0.2">
      <c r="A2" s="45" t="s">
        <v>37</v>
      </c>
      <c r="B2" s="45" t="s">
        <v>31</v>
      </c>
      <c r="C2" s="45" t="s">
        <v>32</v>
      </c>
      <c r="D2" s="45" t="s">
        <v>35</v>
      </c>
      <c r="E2" s="298" t="s">
        <v>95</v>
      </c>
      <c r="F2" s="298"/>
      <c r="G2" s="79">
        <f>E73</f>
        <v>5993251.5999999996</v>
      </c>
      <c r="H2" s="106"/>
    </row>
    <row r="3" spans="1:10" s="36" customFormat="1" ht="11.25" customHeight="1" x14ac:dyDescent="0.2">
      <c r="A3" s="38" t="s">
        <v>48</v>
      </c>
      <c r="B3" s="41"/>
      <c r="C3" s="41"/>
      <c r="D3" s="41"/>
      <c r="E3" s="277"/>
      <c r="F3" s="277"/>
      <c r="H3" s="106"/>
    </row>
    <row r="4" spans="1:10" s="36" customFormat="1" ht="11.25" x14ac:dyDescent="0.2">
      <c r="A4" s="47" t="s">
        <v>48</v>
      </c>
      <c r="B4" s="42" t="s">
        <v>20</v>
      </c>
      <c r="C4" s="43">
        <v>1</v>
      </c>
      <c r="D4" s="44">
        <v>2000</v>
      </c>
      <c r="E4" s="285">
        <f>C4*D4</f>
        <v>2000</v>
      </c>
      <c r="F4" s="285"/>
      <c r="H4" s="173">
        <v>1</v>
      </c>
    </row>
    <row r="5" spans="1:10" s="36" customFormat="1" ht="11.25" x14ac:dyDescent="0.2">
      <c r="A5" s="49" t="str">
        <f>CONCATENATE(A3,"  ŁĄCZNIE")</f>
        <v>Przygotowanie placu budowy  ŁĄCZNIE</v>
      </c>
      <c r="B5" s="48"/>
      <c r="C5" s="48"/>
      <c r="D5" s="48"/>
      <c r="E5" s="272">
        <f>SUM(E4)</f>
        <v>2000</v>
      </c>
      <c r="F5" s="272"/>
      <c r="H5" s="106"/>
    </row>
    <row r="6" spans="1:10" s="36" customFormat="1" ht="11.25" x14ac:dyDescent="0.2">
      <c r="A6" s="38" t="s">
        <v>71</v>
      </c>
      <c r="B6" s="41"/>
      <c r="C6" s="41"/>
      <c r="D6" s="41"/>
      <c r="E6" s="277"/>
      <c r="F6" s="277"/>
      <c r="H6" s="106"/>
    </row>
    <row r="7" spans="1:10" s="36" customFormat="1" ht="16.5" customHeight="1" x14ac:dyDescent="0.2">
      <c r="A7" s="290" t="s">
        <v>114</v>
      </c>
      <c r="B7" s="291" t="s">
        <v>20</v>
      </c>
      <c r="C7" s="299">
        <v>1</v>
      </c>
      <c r="D7" s="293">
        <f>596411.47*(179+168)/454*0.98</f>
        <v>446730.58257312776</v>
      </c>
      <c r="E7" s="285">
        <f>C7*D7</f>
        <v>446730.58257312776</v>
      </c>
      <c r="F7" s="285"/>
      <c r="G7" s="296" t="s">
        <v>67</v>
      </c>
      <c r="H7" s="172">
        <v>1</v>
      </c>
      <c r="I7" s="174">
        <v>6</v>
      </c>
    </row>
    <row r="8" spans="1:10" s="36" customFormat="1" ht="17.25" customHeight="1" x14ac:dyDescent="0.2">
      <c r="A8" s="290"/>
      <c r="B8" s="291"/>
      <c r="C8" s="299"/>
      <c r="D8" s="293"/>
      <c r="E8" s="285"/>
      <c r="F8" s="285"/>
      <c r="G8" s="296"/>
      <c r="H8" s="172"/>
      <c r="I8" s="174"/>
    </row>
    <row r="9" spans="1:10" s="36" customFormat="1" ht="17.25" customHeight="1" x14ac:dyDescent="0.2">
      <c r="A9" s="39" t="s">
        <v>72</v>
      </c>
      <c r="B9" s="42" t="s">
        <v>16</v>
      </c>
      <c r="C9" s="43">
        <f>15*3</f>
        <v>45</v>
      </c>
      <c r="D9" s="89">
        <v>80</v>
      </c>
      <c r="E9" s="285">
        <f t="shared" ref="E9" si="0">C9*D9</f>
        <v>3600</v>
      </c>
      <c r="F9" s="285"/>
      <c r="G9" s="37"/>
      <c r="H9" s="172">
        <v>4</v>
      </c>
      <c r="I9" s="174"/>
    </row>
    <row r="10" spans="1:10" s="36" customFormat="1" ht="11.25" x14ac:dyDescent="0.2">
      <c r="A10" s="39" t="s">
        <v>70</v>
      </c>
      <c r="B10" s="42" t="s">
        <v>20</v>
      </c>
      <c r="C10" s="43">
        <v>2</v>
      </c>
      <c r="D10" s="89">
        <f>((8*500+4*250+1*2000)*2+1000)/2</f>
        <v>7500</v>
      </c>
      <c r="E10" s="285">
        <f>C10*D10</f>
        <v>15000</v>
      </c>
      <c r="F10" s="285"/>
      <c r="H10" s="172">
        <v>2</v>
      </c>
      <c r="I10" s="174"/>
    </row>
    <row r="11" spans="1:10" s="36" customFormat="1" ht="11.25" x14ac:dyDescent="0.2">
      <c r="A11" s="47" t="s">
        <v>79</v>
      </c>
      <c r="B11" s="42" t="s">
        <v>20</v>
      </c>
      <c r="C11" s="43">
        <v>2</v>
      </c>
      <c r="D11" s="44">
        <v>10000</v>
      </c>
      <c r="E11" s="294">
        <f t="shared" ref="E11:E12" si="1">C11*D11</f>
        <v>20000</v>
      </c>
      <c r="F11" s="295"/>
      <c r="H11" s="172">
        <v>6</v>
      </c>
      <c r="I11" s="174">
        <v>1</v>
      </c>
    </row>
    <row r="12" spans="1:10" s="36" customFormat="1" ht="11.25" x14ac:dyDescent="0.2">
      <c r="A12" s="47" t="s">
        <v>78</v>
      </c>
      <c r="B12" s="42" t="s">
        <v>20</v>
      </c>
      <c r="C12" s="43">
        <v>2</v>
      </c>
      <c r="D12" s="44">
        <v>20000</v>
      </c>
      <c r="E12" s="285">
        <f t="shared" si="1"/>
        <v>40000</v>
      </c>
      <c r="F12" s="285"/>
      <c r="H12" s="172">
        <v>6</v>
      </c>
      <c r="I12" s="174">
        <v>1</v>
      </c>
    </row>
    <row r="13" spans="1:10" s="36" customFormat="1" ht="11.25" x14ac:dyDescent="0.2">
      <c r="A13" s="49" t="str">
        <f>CONCATENATE(A6,"  ŁĄCZNIE")</f>
        <v>Roboty rozbiórkowe peronu  ŁĄCZNIE</v>
      </c>
      <c r="B13" s="48"/>
      <c r="C13" s="48"/>
      <c r="D13" s="48"/>
      <c r="E13" s="272">
        <f>SUM(E7:F12)</f>
        <v>525330.5825731277</v>
      </c>
      <c r="F13" s="272"/>
      <c r="H13" s="106"/>
    </row>
    <row r="14" spans="1:10" s="36" customFormat="1" ht="11.25" x14ac:dyDescent="0.2">
      <c r="A14" s="38" t="s">
        <v>3</v>
      </c>
      <c r="B14" s="41"/>
      <c r="C14" s="41"/>
      <c r="D14" s="41"/>
      <c r="E14" s="277"/>
      <c r="F14" s="277"/>
      <c r="G14" s="36" t="s">
        <v>68</v>
      </c>
      <c r="H14" s="110"/>
    </row>
    <row r="15" spans="1:10" s="36" customFormat="1" ht="22.5" x14ac:dyDescent="0.2">
      <c r="A15" s="50" t="s">
        <v>1</v>
      </c>
      <c r="B15" s="51" t="s">
        <v>17</v>
      </c>
      <c r="C15" s="52">
        <f>(3.5*0.6)*(200+100)*2</f>
        <v>1260</v>
      </c>
      <c r="D15" s="53">
        <v>59.06</v>
      </c>
      <c r="E15" s="288">
        <f>C15*D15</f>
        <v>74415.600000000006</v>
      </c>
      <c r="F15" s="288"/>
      <c r="G15" s="54"/>
      <c r="H15" s="110">
        <v>1</v>
      </c>
      <c r="I15" s="106">
        <v>5</v>
      </c>
      <c r="J15" s="106"/>
    </row>
    <row r="16" spans="1:10" s="36" customFormat="1" ht="11.25" x14ac:dyDescent="0.2">
      <c r="A16" s="47" t="s">
        <v>61</v>
      </c>
      <c r="B16" s="42" t="s">
        <v>18</v>
      </c>
      <c r="C16" s="96">
        <f>(200+2*30)*2/1000</f>
        <v>0.52</v>
      </c>
      <c r="D16" s="44">
        <v>149702.95145631069</v>
      </c>
      <c r="E16" s="285">
        <f>C16*D16</f>
        <v>77845.534757281566</v>
      </c>
      <c r="F16" s="285"/>
      <c r="G16" s="36" t="s">
        <v>73</v>
      </c>
      <c r="H16" s="110">
        <v>1</v>
      </c>
      <c r="I16" s="106"/>
      <c r="J16" s="106"/>
    </row>
    <row r="17" spans="1:18" s="36" customFormat="1" ht="22.5" x14ac:dyDescent="0.2">
      <c r="A17" s="47" t="s">
        <v>5</v>
      </c>
      <c r="B17" s="42" t="s">
        <v>19</v>
      </c>
      <c r="C17" s="91">
        <f>C15</f>
        <v>1260</v>
      </c>
      <c r="D17" s="89">
        <v>223.5</v>
      </c>
      <c r="E17" s="285">
        <f t="shared" ref="E17:E21" si="2">C17*D17</f>
        <v>281610</v>
      </c>
      <c r="F17" s="285"/>
      <c r="H17" s="110">
        <v>3</v>
      </c>
      <c r="I17" s="106"/>
      <c r="J17" s="106"/>
    </row>
    <row r="18" spans="1:18" s="36" customFormat="1" ht="11.25" x14ac:dyDescent="0.2">
      <c r="A18" s="47" t="s">
        <v>6</v>
      </c>
      <c r="B18" s="42" t="s">
        <v>16</v>
      </c>
      <c r="C18" s="91">
        <f>3.5*2*(200+100)</f>
        <v>2100</v>
      </c>
      <c r="D18" s="89">
        <v>8</v>
      </c>
      <c r="E18" s="285">
        <f t="shared" si="2"/>
        <v>16800</v>
      </c>
      <c r="F18" s="285"/>
      <c r="H18" s="110">
        <v>1</v>
      </c>
      <c r="I18" s="106"/>
      <c r="J18" s="106"/>
    </row>
    <row r="19" spans="1:18" s="36" customFormat="1" ht="11.25" x14ac:dyDescent="0.2">
      <c r="A19" s="47" t="s">
        <v>75</v>
      </c>
      <c r="B19" s="42" t="s">
        <v>18</v>
      </c>
      <c r="C19" s="98">
        <f>C16</f>
        <v>0.52</v>
      </c>
      <c r="D19" s="89">
        <v>3312532.8349514562</v>
      </c>
      <c r="E19" s="285">
        <f t="shared" si="2"/>
        <v>1722517.0741747573</v>
      </c>
      <c r="F19" s="285"/>
      <c r="G19" s="36" t="s">
        <v>74</v>
      </c>
      <c r="H19" s="106">
        <v>1</v>
      </c>
      <c r="I19" s="106">
        <v>2</v>
      </c>
      <c r="J19" s="106">
        <v>6</v>
      </c>
    </row>
    <row r="20" spans="1:18" s="36" customFormat="1" ht="11.25" x14ac:dyDescent="0.2">
      <c r="A20" s="47" t="s">
        <v>7</v>
      </c>
      <c r="B20" s="42" t="s">
        <v>18</v>
      </c>
      <c r="C20" s="92">
        <f>C19+0.1</f>
        <v>0.62</v>
      </c>
      <c r="D20" s="89">
        <v>90000</v>
      </c>
      <c r="E20" s="285">
        <f t="shared" si="2"/>
        <v>55800</v>
      </c>
      <c r="F20" s="285"/>
      <c r="H20" s="106">
        <v>4</v>
      </c>
      <c r="I20" s="106"/>
      <c r="J20" s="106"/>
    </row>
    <row r="21" spans="1:18" s="36" customFormat="1" ht="11.25" x14ac:dyDescent="0.2">
      <c r="A21" s="47" t="s">
        <v>62</v>
      </c>
      <c r="B21" s="42" t="s">
        <v>20</v>
      </c>
      <c r="C21" s="91">
        <v>2</v>
      </c>
      <c r="D21" s="89">
        <v>60000</v>
      </c>
      <c r="E21" s="285">
        <f t="shared" si="2"/>
        <v>120000</v>
      </c>
      <c r="F21" s="285"/>
      <c r="H21" s="106">
        <v>7</v>
      </c>
      <c r="I21" s="106"/>
      <c r="J21" s="106"/>
    </row>
    <row r="22" spans="1:18" s="36" customFormat="1" ht="11.25" x14ac:dyDescent="0.2">
      <c r="A22" s="49" t="str">
        <f>CONCATENATE(A14,"  ŁĄCZNIE")</f>
        <v>Torowisko wraz z podtorzem  ŁĄCZNIE</v>
      </c>
      <c r="B22" s="48"/>
      <c r="C22" s="48"/>
      <c r="D22" s="48"/>
      <c r="E22" s="272">
        <f>SUM(E14:F21)</f>
        <v>2348988.2089320389</v>
      </c>
      <c r="F22" s="272"/>
      <c r="H22" s="106"/>
    </row>
    <row r="23" spans="1:18" s="36" customFormat="1" ht="11.25" x14ac:dyDescent="0.2">
      <c r="A23" s="38" t="s">
        <v>85</v>
      </c>
      <c r="B23" s="41"/>
      <c r="C23" s="41"/>
      <c r="D23" s="41"/>
      <c r="E23" s="277"/>
      <c r="F23" s="277"/>
      <c r="H23" s="106"/>
    </row>
    <row r="24" spans="1:18" s="36" customFormat="1" ht="11.25" x14ac:dyDescent="0.2">
      <c r="A24" s="47" t="s">
        <v>9</v>
      </c>
      <c r="B24" s="42" t="s">
        <v>20</v>
      </c>
      <c r="C24" s="56">
        <v>4</v>
      </c>
      <c r="D24" s="44">
        <v>3000</v>
      </c>
      <c r="E24" s="285">
        <f t="shared" ref="E24" si="3">C24*D24</f>
        <v>12000</v>
      </c>
      <c r="F24" s="285"/>
      <c r="H24" s="172">
        <v>2</v>
      </c>
    </row>
    <row r="25" spans="1:18" s="36" customFormat="1" ht="11.25" x14ac:dyDescent="0.2">
      <c r="A25" s="49" t="str">
        <f>CONCATENATE(A23,"  ŁĄCZNIE")</f>
        <v>Oznakowanie, sygnalizacje, sterowanie  ŁĄCZNIE</v>
      </c>
      <c r="B25" s="48"/>
      <c r="C25" s="48"/>
      <c r="D25" s="48"/>
      <c r="E25" s="272">
        <f>SUM(E24:F24)</f>
        <v>12000</v>
      </c>
      <c r="F25" s="272"/>
      <c r="H25" s="106"/>
    </row>
    <row r="26" spans="1:18" s="36" customFormat="1" ht="12" thickBot="1" x14ac:dyDescent="0.25">
      <c r="A26" s="38" t="s">
        <v>84</v>
      </c>
      <c r="B26" s="41"/>
      <c r="C26" s="41"/>
      <c r="D26" s="41"/>
      <c r="E26" s="277"/>
      <c r="F26" s="277"/>
      <c r="H26" s="106"/>
      <c r="R26" s="78"/>
    </row>
    <row r="27" spans="1:18" s="36" customFormat="1" ht="12" thickBot="1" x14ac:dyDescent="0.25">
      <c r="A27" s="47" t="s">
        <v>117</v>
      </c>
      <c r="B27" s="42" t="s">
        <v>16</v>
      </c>
      <c r="C27" s="90">
        <f>2*(150*3+10*1)</f>
        <v>920</v>
      </c>
      <c r="D27" s="89">
        <v>1489.99</v>
      </c>
      <c r="E27" s="271">
        <f t="shared" ref="E27:E29" si="4">C27*D27</f>
        <v>1370790.8</v>
      </c>
      <c r="F27" s="271"/>
      <c r="G27" s="36" t="s">
        <v>76</v>
      </c>
      <c r="H27" s="172">
        <v>1</v>
      </c>
      <c r="L27" s="286"/>
      <c r="M27" s="287"/>
    </row>
    <row r="28" spans="1:18" s="36" customFormat="1" ht="11.25" x14ac:dyDescent="0.2">
      <c r="A28" s="47" t="s">
        <v>43</v>
      </c>
      <c r="B28" s="42" t="s">
        <v>44</v>
      </c>
      <c r="C28" s="90">
        <f>2*150+4*15</f>
        <v>360</v>
      </c>
      <c r="D28" s="89">
        <v>150</v>
      </c>
      <c r="E28" s="271">
        <f t="shared" si="4"/>
        <v>54000</v>
      </c>
      <c r="F28" s="271"/>
      <c r="H28" s="172">
        <v>3</v>
      </c>
    </row>
    <row r="29" spans="1:18" s="36" customFormat="1" ht="22.5" x14ac:dyDescent="0.2">
      <c r="A29" s="47" t="s">
        <v>77</v>
      </c>
      <c r="B29" s="42" t="s">
        <v>20</v>
      </c>
      <c r="C29" s="90">
        <v>2</v>
      </c>
      <c r="D29" s="89">
        <f>_xlfn.CEILING.MATH((30000+2*5000+10*50+2*3500+2*1700+2*1200+2*2000+2*1200+2*1200+2500+2000),5000)</f>
        <v>70000</v>
      </c>
      <c r="E29" s="271">
        <f t="shared" si="4"/>
        <v>140000</v>
      </c>
      <c r="F29" s="271"/>
      <c r="H29" s="172">
        <v>2</v>
      </c>
    </row>
    <row r="30" spans="1:18" s="36" customFormat="1" ht="11.25" x14ac:dyDescent="0.2">
      <c r="A30" s="49" t="str">
        <f>CONCATENATE(A26,"  ŁĄCZNIE")</f>
        <v>Peron  ŁĄCZNIE</v>
      </c>
      <c r="B30" s="48"/>
      <c r="C30" s="48"/>
      <c r="D30" s="48"/>
      <c r="E30" s="272">
        <f>SUM(E27:F29)</f>
        <v>1564790.8</v>
      </c>
      <c r="F30" s="272"/>
      <c r="H30" s="106"/>
    </row>
    <row r="31" spans="1:18" s="36" customFormat="1" ht="23.25" thickBot="1" x14ac:dyDescent="0.25">
      <c r="A31" s="38" t="s">
        <v>82</v>
      </c>
      <c r="B31" s="41"/>
      <c r="C31" s="41"/>
      <c r="D31" s="41"/>
      <c r="E31" s="277"/>
      <c r="F31" s="277"/>
      <c r="H31" s="106"/>
    </row>
    <row r="32" spans="1:18" s="36" customFormat="1" ht="12" thickBot="1" x14ac:dyDescent="0.25">
      <c r="A32" s="47" t="s">
        <v>80</v>
      </c>
      <c r="B32" s="42" t="s">
        <v>19</v>
      </c>
      <c r="C32" s="90">
        <f>C34*0.6</f>
        <v>189</v>
      </c>
      <c r="D32" s="89">
        <v>305.11866785714284</v>
      </c>
      <c r="E32" s="271">
        <f t="shared" ref="E32:E35" si="5">C32*D32</f>
        <v>57667.428224999996</v>
      </c>
      <c r="F32" s="271"/>
      <c r="G32" s="36" t="s">
        <v>76</v>
      </c>
      <c r="H32" s="172">
        <v>5</v>
      </c>
      <c r="L32" s="286"/>
      <c r="M32" s="287"/>
      <c r="R32" s="78"/>
    </row>
    <row r="33" spans="1:13" s="36" customFormat="1" ht="11.25" x14ac:dyDescent="0.2">
      <c r="A33" s="47" t="s">
        <v>86</v>
      </c>
      <c r="B33" s="42" t="s">
        <v>44</v>
      </c>
      <c r="C33" s="90">
        <f>20*2*2</f>
        <v>80</v>
      </c>
      <c r="D33" s="89">
        <v>490.14601941747571</v>
      </c>
      <c r="E33" s="271">
        <f t="shared" si="5"/>
        <v>39211.681553398055</v>
      </c>
      <c r="F33" s="271"/>
      <c r="G33" s="36" t="s">
        <v>76</v>
      </c>
      <c r="H33" s="172">
        <v>5</v>
      </c>
    </row>
    <row r="34" spans="1:13" s="36" customFormat="1" ht="22.5" x14ac:dyDescent="0.2">
      <c r="A34" s="47" t="s">
        <v>87</v>
      </c>
      <c r="B34" s="42" t="s">
        <v>54</v>
      </c>
      <c r="C34" s="90">
        <f>20*8+2*15*2+15*1+(C33/2)*2</f>
        <v>315</v>
      </c>
      <c r="D34" s="89">
        <v>118.13291000000001</v>
      </c>
      <c r="E34" s="271">
        <f t="shared" si="5"/>
        <v>37211.866650000004</v>
      </c>
      <c r="F34" s="271"/>
      <c r="G34" s="36" t="s">
        <v>76</v>
      </c>
      <c r="H34" s="172">
        <v>5</v>
      </c>
    </row>
    <row r="35" spans="1:13" s="36" customFormat="1" ht="11.25" x14ac:dyDescent="0.2">
      <c r="A35" s="47" t="s">
        <v>81</v>
      </c>
      <c r="B35" s="42" t="s">
        <v>44</v>
      </c>
      <c r="C35" s="90">
        <f>2*30</f>
        <v>60</v>
      </c>
      <c r="D35" s="89">
        <v>200</v>
      </c>
      <c r="E35" s="271">
        <f t="shared" si="5"/>
        <v>12000</v>
      </c>
      <c r="F35" s="271"/>
      <c r="G35" s="36" t="s">
        <v>83</v>
      </c>
      <c r="H35" s="172">
        <v>5</v>
      </c>
    </row>
    <row r="36" spans="1:13" s="36" customFormat="1" ht="24.95" customHeight="1" x14ac:dyDescent="0.2">
      <c r="A36" s="49" t="str">
        <f>CONCATENATE(A31,"  ŁĄCZNIE")</f>
        <v>Pochylnie, chodniki, drogi dojścia, wraz z zabudową dodatowych ogrodzeń,  labiryntów, barierek  ŁĄCZNIE</v>
      </c>
      <c r="B36" s="48"/>
      <c r="C36" s="48"/>
      <c r="D36" s="48"/>
      <c r="E36" s="272">
        <f>SUM(E32:F35)</f>
        <v>146090.97642839805</v>
      </c>
      <c r="F36" s="272"/>
      <c r="H36" s="106"/>
    </row>
    <row r="37" spans="1:13" s="36" customFormat="1" ht="11.25" x14ac:dyDescent="0.2">
      <c r="A37" s="38" t="s">
        <v>115</v>
      </c>
      <c r="B37" s="41"/>
      <c r="C37" s="41"/>
      <c r="D37" s="41"/>
      <c r="E37" s="277"/>
      <c r="F37" s="277"/>
      <c r="H37" s="106"/>
    </row>
    <row r="38" spans="1:13" s="36" customFormat="1" ht="34.5" hidden="1" thickBot="1" x14ac:dyDescent="0.25">
      <c r="A38" s="47" t="s">
        <v>34</v>
      </c>
      <c r="B38" s="42" t="s">
        <v>21</v>
      </c>
      <c r="C38" s="56">
        <v>0</v>
      </c>
      <c r="D38" s="44">
        <v>80000</v>
      </c>
      <c r="E38" s="271">
        <f t="shared" ref="E38:E41" si="6">C38*D38</f>
        <v>0</v>
      </c>
      <c r="F38" s="271"/>
      <c r="H38" s="106"/>
      <c r="L38" s="286"/>
      <c r="M38" s="287"/>
    </row>
    <row r="39" spans="1:13" s="36" customFormat="1" ht="22.5" x14ac:dyDescent="0.2">
      <c r="A39" s="47" t="s">
        <v>52</v>
      </c>
      <c r="B39" s="42" t="s">
        <v>21</v>
      </c>
      <c r="C39" s="90">
        <v>1</v>
      </c>
      <c r="D39" s="89">
        <f>2*27630.85</f>
        <v>55261.7</v>
      </c>
      <c r="E39" s="271">
        <f t="shared" si="6"/>
        <v>55261.7</v>
      </c>
      <c r="F39" s="271"/>
      <c r="H39" s="172">
        <v>5</v>
      </c>
      <c r="L39" s="69"/>
      <c r="M39" s="70"/>
    </row>
    <row r="40" spans="1:13" s="36" customFormat="1" ht="22.5" x14ac:dyDescent="0.2">
      <c r="A40" s="47" t="s">
        <v>53</v>
      </c>
      <c r="B40" s="42" t="s">
        <v>54</v>
      </c>
      <c r="C40" s="90">
        <f>20*2*1</f>
        <v>40</v>
      </c>
      <c r="D40" s="89">
        <v>248.52</v>
      </c>
      <c r="E40" s="271">
        <f t="shared" si="6"/>
        <v>9940.8000000000011</v>
      </c>
      <c r="F40" s="271"/>
      <c r="H40" s="172">
        <v>5</v>
      </c>
      <c r="L40" s="69"/>
      <c r="M40" s="70"/>
    </row>
    <row r="41" spans="1:13" s="36" customFormat="1" ht="22.5" x14ac:dyDescent="0.2">
      <c r="A41" s="47" t="s">
        <v>55</v>
      </c>
      <c r="B41" s="42" t="s">
        <v>54</v>
      </c>
      <c r="C41" s="90">
        <f>30*2</f>
        <v>60</v>
      </c>
      <c r="D41" s="89">
        <v>174.26</v>
      </c>
      <c r="E41" s="271">
        <f t="shared" si="6"/>
        <v>10455.599999999999</v>
      </c>
      <c r="F41" s="271"/>
      <c r="H41" s="172">
        <v>5</v>
      </c>
    </row>
    <row r="42" spans="1:13" s="36" customFormat="1" ht="24.95" customHeight="1" x14ac:dyDescent="0.2">
      <c r="A42" s="49" t="str">
        <f>CONCATENATE(A37,"  ŁĄCZNIE")</f>
        <v>Przejazdy  ŁĄCZNIE</v>
      </c>
      <c r="B42" s="48"/>
      <c r="C42" s="48"/>
      <c r="D42" s="48"/>
      <c r="E42" s="272">
        <f>SUM(E38:F41)</f>
        <v>75658.100000000006</v>
      </c>
      <c r="F42" s="272"/>
      <c r="H42" s="106"/>
    </row>
    <row r="43" spans="1:13" s="36" customFormat="1" ht="11.25" customHeight="1" x14ac:dyDescent="0.2">
      <c r="A43" s="38" t="s">
        <v>88</v>
      </c>
      <c r="B43" s="41"/>
      <c r="C43" s="41"/>
      <c r="D43" s="41"/>
      <c r="E43" s="300"/>
      <c r="F43" s="301"/>
      <c r="H43" s="106"/>
    </row>
    <row r="44" spans="1:13" s="36" customFormat="1" ht="33.75" customHeight="1" x14ac:dyDescent="0.2">
      <c r="A44" s="47" t="s">
        <v>89</v>
      </c>
      <c r="B44" s="42" t="s">
        <v>20</v>
      </c>
      <c r="C44" s="56">
        <v>2</v>
      </c>
      <c r="D44" s="89">
        <v>90000</v>
      </c>
      <c r="E44" s="271">
        <f t="shared" ref="E44" si="7">C44*D44</f>
        <v>180000</v>
      </c>
      <c r="F44" s="271"/>
      <c r="G44" s="58" t="s">
        <v>90</v>
      </c>
      <c r="H44" s="106"/>
    </row>
    <row r="45" spans="1:13" s="36" customFormat="1" ht="33.75" customHeight="1" x14ac:dyDescent="0.2">
      <c r="A45" s="47" t="s">
        <v>116</v>
      </c>
      <c r="B45" s="42" t="s">
        <v>20</v>
      </c>
      <c r="C45" s="56">
        <v>1</v>
      </c>
      <c r="D45" s="89">
        <f>4*100000</f>
        <v>400000</v>
      </c>
      <c r="E45" s="271">
        <f t="shared" ref="E45" si="8">C45*D45</f>
        <v>400000</v>
      </c>
      <c r="F45" s="271"/>
      <c r="G45" s="58" t="s">
        <v>90</v>
      </c>
      <c r="H45" s="106"/>
    </row>
    <row r="46" spans="1:13" s="36" customFormat="1" ht="11.25" customHeight="1" x14ac:dyDescent="0.2">
      <c r="A46" s="49" t="str">
        <f>CONCATENATE(A43,"  ŁĄCZNIE")</f>
        <v>Branża elektroenergetyczna  ŁĄCZNIE</v>
      </c>
      <c r="B46" s="48"/>
      <c r="C46" s="48"/>
      <c r="D46" s="48"/>
      <c r="E46" s="272">
        <f>SUM(E44:F45)</f>
        <v>580000</v>
      </c>
      <c r="F46" s="272"/>
      <c r="H46" s="106"/>
    </row>
    <row r="47" spans="1:13" s="36" customFormat="1" ht="11.25" customHeight="1" x14ac:dyDescent="0.2">
      <c r="A47" s="38" t="s">
        <v>91</v>
      </c>
      <c r="B47" s="41"/>
      <c r="C47" s="41"/>
      <c r="D47" s="41"/>
      <c r="E47" s="277"/>
      <c r="F47" s="277"/>
      <c r="H47" s="106"/>
    </row>
    <row r="48" spans="1:13" s="36" customFormat="1" ht="11.25" customHeight="1" x14ac:dyDescent="0.2">
      <c r="A48" s="47" t="s">
        <v>92</v>
      </c>
      <c r="B48" s="42" t="s">
        <v>20</v>
      </c>
      <c r="C48" s="56">
        <v>2</v>
      </c>
      <c r="D48" s="89">
        <v>60000</v>
      </c>
      <c r="E48" s="271">
        <f t="shared" ref="E48:E49" si="9">C48*D48</f>
        <v>120000</v>
      </c>
      <c r="F48" s="271"/>
      <c r="G48" s="58" t="s">
        <v>93</v>
      </c>
      <c r="H48" s="106"/>
    </row>
    <row r="49" spans="1:8" s="36" customFormat="1" ht="11.25" customHeight="1" x14ac:dyDescent="0.2">
      <c r="A49" s="47" t="s">
        <v>94</v>
      </c>
      <c r="B49" s="42" t="s">
        <v>20</v>
      </c>
      <c r="C49" s="56">
        <v>2</v>
      </c>
      <c r="D49" s="89">
        <v>20000</v>
      </c>
      <c r="E49" s="271">
        <f t="shared" si="9"/>
        <v>40000</v>
      </c>
      <c r="F49" s="271"/>
      <c r="G49" s="58" t="s">
        <v>93</v>
      </c>
      <c r="H49" s="106"/>
    </row>
    <row r="50" spans="1:8" s="36" customFormat="1" ht="11.25" customHeight="1" x14ac:dyDescent="0.2">
      <c r="A50" s="49" t="str">
        <f>CONCATENATE(A47,"  ŁĄCZNIE")</f>
        <v>Branża telekomunikacji i automatyki  ŁĄCZNIE</v>
      </c>
      <c r="B50" s="48"/>
      <c r="C50" s="48"/>
      <c r="D50" s="48"/>
      <c r="E50" s="272">
        <f>SUM(E48:F49)</f>
        <v>160000</v>
      </c>
      <c r="F50" s="272"/>
      <c r="G50" s="58"/>
      <c r="H50" s="106"/>
    </row>
    <row r="51" spans="1:8" s="36" customFormat="1" ht="11.25" customHeight="1" x14ac:dyDescent="0.2">
      <c r="A51" s="38" t="s">
        <v>141</v>
      </c>
      <c r="B51" s="41"/>
      <c r="C51" s="41"/>
      <c r="D51" s="41"/>
      <c r="E51" s="277"/>
      <c r="F51" s="277"/>
      <c r="G51" s="58"/>
      <c r="H51" s="106"/>
    </row>
    <row r="52" spans="1:8" s="36" customFormat="1" ht="11.25" customHeight="1" x14ac:dyDescent="0.2">
      <c r="A52" s="47" t="s">
        <v>143</v>
      </c>
      <c r="B52" s="81" t="s">
        <v>20</v>
      </c>
      <c r="C52" s="43">
        <v>1</v>
      </c>
      <c r="D52" s="80">
        <v>80000</v>
      </c>
      <c r="E52" s="285">
        <f>C52*D52</f>
        <v>80000</v>
      </c>
      <c r="F52" s="285"/>
      <c r="G52" s="58"/>
      <c r="H52" s="106"/>
    </row>
    <row r="53" spans="1:8" s="36" customFormat="1" ht="11.25" customHeight="1" x14ac:dyDescent="0.2">
      <c r="A53" s="49" t="s">
        <v>142</v>
      </c>
      <c r="B53" s="48"/>
      <c r="C53" s="48"/>
      <c r="D53" s="48"/>
      <c r="E53" s="272">
        <f>SUM(E52)</f>
        <v>80000</v>
      </c>
      <c r="F53" s="272"/>
      <c r="G53" s="58"/>
      <c r="H53" s="106"/>
    </row>
    <row r="54" spans="1:8" s="36" customFormat="1" ht="11.25" x14ac:dyDescent="0.2">
      <c r="A54" s="38" t="s">
        <v>42</v>
      </c>
      <c r="B54" s="41"/>
      <c r="C54" s="41"/>
      <c r="D54" s="41"/>
      <c r="E54" s="273"/>
      <c r="F54" s="273"/>
      <c r="H54" s="106"/>
    </row>
    <row r="55" spans="1:8" s="36" customFormat="1" ht="205.5" customHeight="1" x14ac:dyDescent="0.2">
      <c r="A55" s="61" t="s">
        <v>99</v>
      </c>
      <c r="B55" s="62" t="s">
        <v>20</v>
      </c>
      <c r="C55" s="63">
        <v>1</v>
      </c>
      <c r="D55" s="64">
        <f>E66</f>
        <v>213000</v>
      </c>
      <c r="E55" s="278">
        <f t="shared" ref="E55" si="10">C55*D55</f>
        <v>213000</v>
      </c>
      <c r="F55" s="278"/>
      <c r="H55" s="106">
        <f>'Rybnik Niewiadom (RCO)'!A4</f>
        <v>1</v>
      </c>
    </row>
    <row r="56" spans="1:8" s="36" customFormat="1" ht="27" customHeight="1" x14ac:dyDescent="0.2">
      <c r="A56" s="279" t="s">
        <v>100</v>
      </c>
      <c r="B56" s="280"/>
      <c r="C56" s="280"/>
      <c r="D56" s="280"/>
      <c r="E56" s="280"/>
      <c r="F56" s="281"/>
      <c r="H56" s="106"/>
    </row>
    <row r="57" spans="1:8" s="36" customFormat="1" ht="48.75" customHeight="1" x14ac:dyDescent="0.2">
      <c r="A57" s="282" t="s">
        <v>101</v>
      </c>
      <c r="B57" s="283"/>
      <c r="C57" s="283"/>
      <c r="D57" s="283"/>
      <c r="E57" s="283"/>
      <c r="F57" s="284"/>
      <c r="H57" s="106"/>
    </row>
    <row r="58" spans="1:8" s="36" customFormat="1" ht="73.5" customHeight="1" x14ac:dyDescent="0.2">
      <c r="A58" s="274" t="s">
        <v>102</v>
      </c>
      <c r="B58" s="275"/>
      <c r="C58" s="275"/>
      <c r="D58" s="275"/>
      <c r="E58" s="275"/>
      <c r="F58" s="276"/>
      <c r="H58" s="106"/>
    </row>
    <row r="59" spans="1:8" s="36" customFormat="1" ht="11.1" hidden="1" customHeight="1" x14ac:dyDescent="0.2">
      <c r="A59" s="65" t="s">
        <v>104</v>
      </c>
      <c r="B59" s="66" t="s">
        <v>103</v>
      </c>
      <c r="C59" s="67">
        <v>2.25</v>
      </c>
      <c r="D59" s="68"/>
      <c r="E59" s="268"/>
      <c r="F59" s="269"/>
      <c r="H59" s="106"/>
    </row>
    <row r="60" spans="1:8" s="36" customFormat="1" ht="11.1" hidden="1" customHeight="1" x14ac:dyDescent="0.2">
      <c r="A60" s="65" t="s">
        <v>108</v>
      </c>
      <c r="B60" s="66" t="s">
        <v>103</v>
      </c>
      <c r="C60" s="87">
        <v>1.25</v>
      </c>
      <c r="D60" s="88"/>
      <c r="E60" s="270"/>
      <c r="F60" s="270"/>
      <c r="H60" s="106"/>
    </row>
    <row r="61" spans="1:8" s="36" customFormat="1" ht="11.1" hidden="1" customHeight="1" x14ac:dyDescent="0.2">
      <c r="A61" s="65" t="s">
        <v>109</v>
      </c>
      <c r="B61" s="66" t="s">
        <v>103</v>
      </c>
      <c r="C61" s="87">
        <v>1.1000000000000001</v>
      </c>
      <c r="D61" s="88"/>
      <c r="E61" s="270"/>
      <c r="F61" s="270"/>
      <c r="H61" s="106"/>
    </row>
    <row r="62" spans="1:8" s="36" customFormat="1" ht="29.25" hidden="1" customHeight="1" x14ac:dyDescent="0.2">
      <c r="A62" s="65" t="s">
        <v>139</v>
      </c>
      <c r="B62" s="66" t="s">
        <v>103</v>
      </c>
      <c r="C62" s="87">
        <v>1.25</v>
      </c>
      <c r="D62" s="88"/>
      <c r="E62" s="270"/>
      <c r="F62" s="270"/>
      <c r="H62" s="106"/>
    </row>
    <row r="63" spans="1:8" s="36" customFormat="1" ht="11.1" hidden="1" customHeight="1" x14ac:dyDescent="0.2">
      <c r="A63" s="65" t="s">
        <v>111</v>
      </c>
      <c r="B63" s="66" t="s">
        <v>103</v>
      </c>
      <c r="C63" s="67">
        <f>C59*(C60*C61*C62)</f>
        <v>3.8671875</v>
      </c>
      <c r="D63" s="68"/>
      <c r="E63" s="270"/>
      <c r="F63" s="270"/>
      <c r="H63" s="106"/>
    </row>
    <row r="64" spans="1:8" s="36" customFormat="1" ht="11.1" hidden="1" customHeight="1" x14ac:dyDescent="0.2">
      <c r="A64" s="65" t="s">
        <v>105</v>
      </c>
      <c r="B64" s="42" t="s">
        <v>107</v>
      </c>
      <c r="C64" s="67"/>
      <c r="D64" s="68"/>
      <c r="E64" s="270">
        <f>E71</f>
        <v>5494858.6699999999</v>
      </c>
      <c r="F64" s="270"/>
      <c r="H64" s="106"/>
    </row>
    <row r="65" spans="1:8" s="36" customFormat="1" ht="11.1" hidden="1" customHeight="1" x14ac:dyDescent="0.2">
      <c r="A65" s="47" t="s">
        <v>106</v>
      </c>
      <c r="B65" s="42" t="s">
        <v>107</v>
      </c>
      <c r="C65" s="56"/>
      <c r="D65" s="44"/>
      <c r="E65" s="271">
        <f>E64*C63/100</f>
        <v>212496.48762890627</v>
      </c>
      <c r="F65" s="271"/>
      <c r="H65" s="106"/>
    </row>
    <row r="66" spans="1:8" s="36" customFormat="1" ht="11.1" hidden="1" customHeight="1" x14ac:dyDescent="0.2">
      <c r="A66" s="47"/>
      <c r="B66" s="42"/>
      <c r="C66" s="56"/>
      <c r="D66" s="44"/>
      <c r="E66" s="271">
        <f>_xlfn.CEILING.MATH(E65,1000)</f>
        <v>213000</v>
      </c>
      <c r="F66" s="271"/>
      <c r="H66" s="106"/>
    </row>
    <row r="67" spans="1:8" s="36" customFormat="1" ht="11.1" hidden="1" customHeight="1" x14ac:dyDescent="0.2">
      <c r="A67" s="47"/>
      <c r="B67" s="42"/>
      <c r="C67" s="56"/>
      <c r="D67" s="44"/>
      <c r="E67" s="271"/>
      <c r="F67" s="271"/>
      <c r="H67" s="106"/>
    </row>
    <row r="68" spans="1:8" s="36" customFormat="1" ht="11.1" customHeight="1" x14ac:dyDescent="0.2">
      <c r="A68" s="49" t="str">
        <f>CONCATENATE(A54,"  ŁĄCZNIE")</f>
        <v>Dokumentacja projektowa  ŁĄCZNIE</v>
      </c>
      <c r="B68" s="48"/>
      <c r="C68" s="48"/>
      <c r="D68" s="48"/>
      <c r="E68" s="272">
        <f>E55</f>
        <v>213000</v>
      </c>
      <c r="F68" s="272"/>
      <c r="H68" s="106"/>
    </row>
    <row r="69" spans="1:8" s="36" customFormat="1" ht="11.1" customHeight="1" x14ac:dyDescent="0.2">
      <c r="A69" s="38" t="s">
        <v>112</v>
      </c>
      <c r="B69" s="83"/>
      <c r="C69" s="83"/>
      <c r="D69" s="83"/>
      <c r="E69" s="273"/>
      <c r="F69" s="273"/>
      <c r="H69" s="106"/>
    </row>
    <row r="70" spans="1:8" x14ac:dyDescent="0.25">
      <c r="A70" s="82" t="s">
        <v>96</v>
      </c>
      <c r="B70" s="84" t="s">
        <v>137</v>
      </c>
      <c r="C70" s="85">
        <v>1</v>
      </c>
      <c r="D70" s="86"/>
      <c r="E70" s="302">
        <f>ROUND(E68,2)</f>
        <v>213000</v>
      </c>
      <c r="F70" s="264"/>
    </row>
    <row r="71" spans="1:8" x14ac:dyDescent="0.25">
      <c r="A71" s="59" t="s">
        <v>97</v>
      </c>
      <c r="B71" s="84" t="s">
        <v>137</v>
      </c>
      <c r="C71" s="85">
        <v>2</v>
      </c>
      <c r="D71" s="86"/>
      <c r="E71" s="263">
        <f>ROUND(E5+E13+E22+E25+E30+E36+E46+E50+E42+E53,2)</f>
        <v>5494858.6699999999</v>
      </c>
      <c r="F71" s="264"/>
    </row>
    <row r="72" spans="1:8" x14ac:dyDescent="0.25">
      <c r="A72" s="59" t="s">
        <v>140</v>
      </c>
      <c r="B72" s="84" t="s">
        <v>137</v>
      </c>
      <c r="C72" s="85" t="s">
        <v>138</v>
      </c>
      <c r="D72" s="86"/>
      <c r="E72" s="263">
        <f>ROUND(0.05*(E70+E71),2)</f>
        <v>285392.93</v>
      </c>
      <c r="F72" s="264"/>
    </row>
    <row r="73" spans="1:8" x14ac:dyDescent="0.25">
      <c r="A73" s="265" t="s">
        <v>63</v>
      </c>
      <c r="B73" s="265"/>
      <c r="C73" s="265"/>
      <c r="D73" s="265"/>
      <c r="E73" s="266">
        <f>E70+E71+E72</f>
        <v>5993251.5999999996</v>
      </c>
      <c r="F73" s="265"/>
    </row>
    <row r="74" spans="1:8" x14ac:dyDescent="0.25">
      <c r="A74" s="264" t="s">
        <v>64</v>
      </c>
      <c r="B74" s="264"/>
      <c r="C74" s="264"/>
      <c r="D74" s="264"/>
      <c r="E74" s="263">
        <f>SUM(E73*1.23)</f>
        <v>7371699.4679999994</v>
      </c>
      <c r="F74" s="263"/>
    </row>
    <row r="75" spans="1:8" x14ac:dyDescent="0.25">
      <c r="C75" s="267" t="s">
        <v>66</v>
      </c>
      <c r="D75" s="267"/>
      <c r="E75" s="267"/>
      <c r="F75" s="267"/>
    </row>
    <row r="76" spans="1:8" x14ac:dyDescent="0.25">
      <c r="A76" s="32" t="s">
        <v>49</v>
      </c>
      <c r="B76" s="33"/>
      <c r="C76" s="34"/>
      <c r="D76" s="34"/>
      <c r="E76" s="34"/>
      <c r="F76" s="34"/>
      <c r="G76" s="33"/>
    </row>
    <row r="77" spans="1:8" x14ac:dyDescent="0.25">
      <c r="A77" s="32" t="s">
        <v>51</v>
      </c>
      <c r="B77" s="33"/>
      <c r="C77" s="33"/>
      <c r="D77" s="33"/>
      <c r="E77" s="33"/>
      <c r="F77" s="33"/>
      <c r="G77" s="33"/>
    </row>
    <row r="78" spans="1:8" ht="15" customHeight="1" x14ac:dyDescent="0.25">
      <c r="A78" s="262" t="s">
        <v>98</v>
      </c>
      <c r="B78" s="262"/>
      <c r="C78" s="262"/>
      <c r="D78" s="262"/>
      <c r="E78" s="262"/>
      <c r="F78" s="262"/>
      <c r="G78" s="35"/>
    </row>
  </sheetData>
  <mergeCells count="85">
    <mergeCell ref="A78:F78"/>
    <mergeCell ref="E37:F37"/>
    <mergeCell ref="E38:F38"/>
    <mergeCell ref="E45:F45"/>
    <mergeCell ref="E71:F71"/>
    <mergeCell ref="A73:D73"/>
    <mergeCell ref="E73:F73"/>
    <mergeCell ref="A74:D74"/>
    <mergeCell ref="E74:F74"/>
    <mergeCell ref="C75:F75"/>
    <mergeCell ref="E65:F65"/>
    <mergeCell ref="E66:F66"/>
    <mergeCell ref="E67:F67"/>
    <mergeCell ref="E68:F68"/>
    <mergeCell ref="E69:F69"/>
    <mergeCell ref="E70:F70"/>
    <mergeCell ref="E62:F62"/>
    <mergeCell ref="E63:F63"/>
    <mergeCell ref="L38:M38"/>
    <mergeCell ref="E41:F41"/>
    <mergeCell ref="E42:F42"/>
    <mergeCell ref="E39:F39"/>
    <mergeCell ref="E40:F40"/>
    <mergeCell ref="E64:F64"/>
    <mergeCell ref="A58:F58"/>
    <mergeCell ref="E43:F43"/>
    <mergeCell ref="E44:F44"/>
    <mergeCell ref="E46:F46"/>
    <mergeCell ref="E47:F47"/>
    <mergeCell ref="E48:F48"/>
    <mergeCell ref="E49:F49"/>
    <mergeCell ref="E50:F50"/>
    <mergeCell ref="E54:F54"/>
    <mergeCell ref="E55:F55"/>
    <mergeCell ref="A56:F56"/>
    <mergeCell ref="A57:F57"/>
    <mergeCell ref="E59:F59"/>
    <mergeCell ref="E60:F60"/>
    <mergeCell ref="E61:F61"/>
    <mergeCell ref="E25:F25"/>
    <mergeCell ref="E36:F36"/>
    <mergeCell ref="E27:F27"/>
    <mergeCell ref="L27:M27"/>
    <mergeCell ref="E28:F28"/>
    <mergeCell ref="E29:F29"/>
    <mergeCell ref="E30:F30"/>
    <mergeCell ref="E31:F31"/>
    <mergeCell ref="E32:F32"/>
    <mergeCell ref="L32:M32"/>
    <mergeCell ref="E33:F33"/>
    <mergeCell ref="E34:F34"/>
    <mergeCell ref="E35:F35"/>
    <mergeCell ref="E6:F6"/>
    <mergeCell ref="E14:F14"/>
    <mergeCell ref="A7:A8"/>
    <mergeCell ref="B7:B8"/>
    <mergeCell ref="C7:C8"/>
    <mergeCell ref="D7:D8"/>
    <mergeCell ref="E7:F8"/>
    <mergeCell ref="E9:F9"/>
    <mergeCell ref="E10:F10"/>
    <mergeCell ref="E11:F11"/>
    <mergeCell ref="E12:F12"/>
    <mergeCell ref="E13:F13"/>
    <mergeCell ref="A1:F1"/>
    <mergeCell ref="E2:F2"/>
    <mergeCell ref="E3:F3"/>
    <mergeCell ref="E4:F4"/>
    <mergeCell ref="E5:F5"/>
    <mergeCell ref="E72:F72"/>
    <mergeCell ref="E51:F51"/>
    <mergeCell ref="E52:F52"/>
    <mergeCell ref="E53:F53"/>
    <mergeCell ref="G7:G8"/>
    <mergeCell ref="E26:F26"/>
    <mergeCell ref="E15:F15"/>
    <mergeCell ref="E16:F16"/>
    <mergeCell ref="E17:F17"/>
    <mergeCell ref="E18:F18"/>
    <mergeCell ref="E19:F19"/>
    <mergeCell ref="E20:F20"/>
    <mergeCell ref="E21:F21"/>
    <mergeCell ref="E22:F22"/>
    <mergeCell ref="E23:F23"/>
    <mergeCell ref="E24:F24"/>
  </mergeCells>
  <pageMargins left="0.70866141732283472" right="0.70866141732283472" top="0.74803149606299213" bottom="0.74803149606299213" header="0.31496062992125984" footer="0.31496062992125984"/>
  <pageSetup paperSize="9" scale="93" fitToHeight="0" orientation="portrait" r:id="rId1"/>
  <rowBreaks count="1" manualBreakCount="1">
    <brk id="53"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M67"/>
  <sheetViews>
    <sheetView view="pageBreakPreview" zoomScale="110" zoomScaleNormal="130" zoomScaleSheetLayoutView="110" workbookViewId="0">
      <pane ySplit="2" topLeftCell="A15" activePane="bottomLeft" state="frozen"/>
      <selection pane="bottomLeft" activeCell="E15" sqref="E15:F15"/>
    </sheetView>
  </sheetViews>
  <sheetFormatPr defaultRowHeight="15" x14ac:dyDescent="0.25"/>
  <cols>
    <col min="1" max="1" width="51.42578125" customWidth="1"/>
    <col min="3" max="3" width="7.5703125" customWidth="1"/>
    <col min="4" max="4" width="10.5703125" customWidth="1"/>
    <col min="5" max="5" width="5" customWidth="1"/>
    <col min="7" max="7" width="15.85546875" customWidth="1"/>
  </cols>
  <sheetData>
    <row r="1" spans="1:9" x14ac:dyDescent="0.25">
      <c r="A1" s="297" t="s">
        <v>119</v>
      </c>
      <c r="B1" s="297"/>
      <c r="C1" s="297"/>
      <c r="D1" s="297"/>
      <c r="E1" s="297"/>
      <c r="F1" s="297"/>
    </row>
    <row r="2" spans="1:9" s="36" customFormat="1" ht="27.75" customHeight="1" x14ac:dyDescent="0.2">
      <c r="A2" s="45" t="s">
        <v>37</v>
      </c>
      <c r="B2" s="45" t="s">
        <v>31</v>
      </c>
      <c r="C2" s="45" t="s">
        <v>32</v>
      </c>
      <c r="D2" s="45" t="s">
        <v>35</v>
      </c>
      <c r="E2" s="298" t="s">
        <v>95</v>
      </c>
      <c r="F2" s="298"/>
      <c r="G2" s="79">
        <f>E61</f>
        <v>4498017.2399999993</v>
      </c>
    </row>
    <row r="3" spans="1:9" s="36" customFormat="1" ht="11.25" customHeight="1" x14ac:dyDescent="0.2">
      <c r="A3" s="38" t="s">
        <v>48</v>
      </c>
      <c r="B3" s="41"/>
      <c r="C3" s="41"/>
      <c r="D3" s="41"/>
      <c r="E3" s="277"/>
      <c r="F3" s="277"/>
    </row>
    <row r="4" spans="1:9" s="36" customFormat="1" ht="11.25" x14ac:dyDescent="0.2">
      <c r="A4" s="47" t="s">
        <v>48</v>
      </c>
      <c r="B4" s="42" t="s">
        <v>20</v>
      </c>
      <c r="C4" s="43">
        <v>1</v>
      </c>
      <c r="D4" s="44">
        <v>2000</v>
      </c>
      <c r="E4" s="285">
        <f>C4*D4</f>
        <v>2000</v>
      </c>
      <c r="F4" s="285"/>
      <c r="H4" s="173">
        <v>1</v>
      </c>
    </row>
    <row r="5" spans="1:9" s="36" customFormat="1" ht="11.25" x14ac:dyDescent="0.2">
      <c r="A5" s="49" t="str">
        <f>CONCATENATE(A3,"  ŁĄCZNIE")</f>
        <v>Przygotowanie placu budowy  ŁĄCZNIE</v>
      </c>
      <c r="B5" s="48"/>
      <c r="C5" s="48"/>
      <c r="D5" s="48"/>
      <c r="E5" s="272">
        <f>SUM(E4)</f>
        <v>2000</v>
      </c>
      <c r="F5" s="272"/>
      <c r="H5" s="106"/>
    </row>
    <row r="6" spans="1:9" s="36" customFormat="1" ht="11.25" x14ac:dyDescent="0.2">
      <c r="A6" s="38" t="s">
        <v>71</v>
      </c>
      <c r="B6" s="41"/>
      <c r="C6" s="41"/>
      <c r="D6" s="41"/>
      <c r="E6" s="277"/>
      <c r="F6" s="277"/>
      <c r="H6" s="106"/>
    </row>
    <row r="7" spans="1:9" s="36" customFormat="1" ht="16.5" customHeight="1" x14ac:dyDescent="0.2">
      <c r="A7" s="290" t="s">
        <v>69</v>
      </c>
      <c r="B7" s="291" t="s">
        <v>20</v>
      </c>
      <c r="C7" s="303">
        <v>1</v>
      </c>
      <c r="D7" s="293">
        <f>596411.47*500/454*1.2</f>
        <v>788208.99118942732</v>
      </c>
      <c r="E7" s="285">
        <f>C7*D7</f>
        <v>788208.99118942732</v>
      </c>
      <c r="F7" s="285"/>
      <c r="G7" s="296" t="s">
        <v>67</v>
      </c>
      <c r="H7" s="172">
        <v>1</v>
      </c>
      <c r="I7" s="174">
        <v>6</v>
      </c>
    </row>
    <row r="8" spans="1:9" s="36" customFormat="1" ht="17.25" customHeight="1" x14ac:dyDescent="0.2">
      <c r="A8" s="290"/>
      <c r="B8" s="291"/>
      <c r="C8" s="303"/>
      <c r="D8" s="293"/>
      <c r="E8" s="285"/>
      <c r="F8" s="285"/>
      <c r="G8" s="296"/>
      <c r="H8" s="172"/>
      <c r="I8" s="174"/>
    </row>
    <row r="9" spans="1:9" s="36" customFormat="1" ht="17.25" customHeight="1" x14ac:dyDescent="0.2">
      <c r="A9" s="39" t="s">
        <v>72</v>
      </c>
      <c r="B9" s="42" t="s">
        <v>16</v>
      </c>
      <c r="C9" s="91">
        <v>0</v>
      </c>
      <c r="D9" s="89">
        <v>80</v>
      </c>
      <c r="E9" s="285">
        <f t="shared" ref="E9" si="0">C9*D9</f>
        <v>0</v>
      </c>
      <c r="F9" s="285"/>
      <c r="G9" s="37"/>
      <c r="H9" s="172">
        <v>4</v>
      </c>
      <c r="I9" s="174"/>
    </row>
    <row r="10" spans="1:9" s="36" customFormat="1" ht="11.25" x14ac:dyDescent="0.2">
      <c r="A10" s="39" t="s">
        <v>70</v>
      </c>
      <c r="B10" s="42" t="s">
        <v>20</v>
      </c>
      <c r="C10" s="91">
        <v>1</v>
      </c>
      <c r="D10" s="89">
        <f>8*500+4*250+1*2000+5000+3000</f>
        <v>15000</v>
      </c>
      <c r="E10" s="285">
        <f>C10*D10</f>
        <v>15000</v>
      </c>
      <c r="F10" s="285"/>
      <c r="H10" s="172">
        <v>2</v>
      </c>
      <c r="I10" s="174"/>
    </row>
    <row r="11" spans="1:9" s="36" customFormat="1" ht="11.25" x14ac:dyDescent="0.2">
      <c r="A11" s="47" t="s">
        <v>79</v>
      </c>
      <c r="B11" s="42" t="s">
        <v>20</v>
      </c>
      <c r="C11" s="91">
        <v>1</v>
      </c>
      <c r="D11" s="89">
        <f>35000+(15000)</f>
        <v>50000</v>
      </c>
      <c r="E11" s="294">
        <f t="shared" ref="E11" si="1">C11*D11</f>
        <v>50000</v>
      </c>
      <c r="F11" s="295"/>
      <c r="H11" s="172">
        <v>6</v>
      </c>
      <c r="I11" s="174"/>
    </row>
    <row r="12" spans="1:9" s="36" customFormat="1" ht="11.25" x14ac:dyDescent="0.2">
      <c r="A12" s="47" t="s">
        <v>78</v>
      </c>
      <c r="B12" s="42" t="s">
        <v>20</v>
      </c>
      <c r="C12" s="91">
        <v>1</v>
      </c>
      <c r="D12" s="89">
        <v>25000</v>
      </c>
      <c r="E12" s="285">
        <f t="shared" ref="E12" si="2">C12*D12</f>
        <v>25000</v>
      </c>
      <c r="F12" s="285"/>
      <c r="H12" s="172">
        <v>6</v>
      </c>
      <c r="I12" s="174"/>
    </row>
    <row r="13" spans="1:9" s="36" customFormat="1" ht="11.25" x14ac:dyDescent="0.2">
      <c r="A13" s="49" t="str">
        <f>CONCATENATE(A6,"  ŁĄCZNIE")</f>
        <v>Roboty rozbiórkowe peronu  ŁĄCZNIE</v>
      </c>
      <c r="B13" s="48"/>
      <c r="C13" s="48"/>
      <c r="D13" s="48"/>
      <c r="E13" s="272">
        <f>SUM(E7:F12)</f>
        <v>878208.99118942732</v>
      </c>
      <c r="F13" s="272"/>
    </row>
    <row r="14" spans="1:9" s="36" customFormat="1" ht="11.25" x14ac:dyDescent="0.2">
      <c r="A14" s="38" t="s">
        <v>3</v>
      </c>
      <c r="B14" s="41"/>
      <c r="C14" s="41"/>
      <c r="D14" s="41"/>
      <c r="E14" s="277"/>
      <c r="F14" s="277"/>
      <c r="G14" s="36" t="s">
        <v>68</v>
      </c>
      <c r="H14" s="55"/>
    </row>
    <row r="15" spans="1:9" s="36" customFormat="1" ht="11.25" x14ac:dyDescent="0.2">
      <c r="A15" s="47" t="s">
        <v>122</v>
      </c>
      <c r="B15" s="42" t="s">
        <v>118</v>
      </c>
      <c r="C15" s="57">
        <v>600</v>
      </c>
      <c r="D15" s="44">
        <v>343.51</v>
      </c>
      <c r="E15" s="285">
        <f t="shared" ref="E15" si="3">C15*D15</f>
        <v>206106</v>
      </c>
      <c r="F15" s="285"/>
      <c r="H15" s="36">
        <v>1</v>
      </c>
    </row>
    <row r="16" spans="1:9" s="36" customFormat="1" ht="11.25" x14ac:dyDescent="0.2">
      <c r="A16" s="49" t="str">
        <f>CONCATENATE(A14,"  ŁĄCZNIE")</f>
        <v>Torowisko wraz z podtorzem  ŁĄCZNIE</v>
      </c>
      <c r="B16" s="48"/>
      <c r="C16" s="48"/>
      <c r="D16" s="48"/>
      <c r="E16" s="272">
        <f>SUM(E14:F15)</f>
        <v>206106</v>
      </c>
      <c r="F16" s="272"/>
    </row>
    <row r="17" spans="1:13" s="36" customFormat="1" ht="11.25" x14ac:dyDescent="0.2">
      <c r="A17" s="38" t="s">
        <v>85</v>
      </c>
      <c r="B17" s="41"/>
      <c r="C17" s="41"/>
      <c r="D17" s="41"/>
      <c r="E17" s="277"/>
      <c r="F17" s="277"/>
    </row>
    <row r="18" spans="1:13" s="36" customFormat="1" ht="11.25" x14ac:dyDescent="0.2">
      <c r="A18" s="47" t="s">
        <v>9</v>
      </c>
      <c r="B18" s="42" t="s">
        <v>20</v>
      </c>
      <c r="C18" s="56">
        <v>4</v>
      </c>
      <c r="D18" s="44">
        <v>3000</v>
      </c>
      <c r="E18" s="285">
        <f t="shared" ref="E18" si="4">C18*D18</f>
        <v>12000</v>
      </c>
      <c r="F18" s="285"/>
      <c r="H18" s="172">
        <v>2</v>
      </c>
    </row>
    <row r="19" spans="1:13" s="36" customFormat="1" ht="11.25" x14ac:dyDescent="0.2">
      <c r="A19" s="49" t="str">
        <f>CONCATENATE(A17,"  ŁĄCZNIE")</f>
        <v>Oznakowanie, sygnalizacje, sterowanie  ŁĄCZNIE</v>
      </c>
      <c r="B19" s="48"/>
      <c r="C19" s="48"/>
      <c r="D19" s="48"/>
      <c r="E19" s="272">
        <f>SUM(E18:F18)</f>
        <v>12000</v>
      </c>
      <c r="F19" s="272"/>
      <c r="H19" s="106"/>
    </row>
    <row r="20" spans="1:13" s="36" customFormat="1" ht="12" thickBot="1" x14ac:dyDescent="0.25">
      <c r="A20" s="38" t="s">
        <v>84</v>
      </c>
      <c r="B20" s="41"/>
      <c r="C20" s="41"/>
      <c r="D20" s="41"/>
      <c r="E20" s="277"/>
      <c r="F20" s="277"/>
      <c r="H20" s="106"/>
    </row>
    <row r="21" spans="1:13" s="36" customFormat="1" ht="12" thickBot="1" x14ac:dyDescent="0.25">
      <c r="A21" s="47" t="s">
        <v>120</v>
      </c>
      <c r="B21" s="42" t="s">
        <v>16</v>
      </c>
      <c r="C21" s="90">
        <f>150*8.5+20*8.5</f>
        <v>1445</v>
      </c>
      <c r="D21" s="89">
        <f>1564.81*1.12</f>
        <v>1752.5872000000002</v>
      </c>
      <c r="E21" s="271">
        <f t="shared" ref="E21:E23" si="5">C21*D21</f>
        <v>2532488.5040000002</v>
      </c>
      <c r="F21" s="271"/>
      <c r="G21" s="36" t="s">
        <v>121</v>
      </c>
      <c r="H21" s="172">
        <v>1</v>
      </c>
      <c r="I21" s="36">
        <v>1564.8111200000001</v>
      </c>
      <c r="L21" s="286"/>
      <c r="M21" s="287"/>
    </row>
    <row r="22" spans="1:13" s="36" customFormat="1" ht="11.25" x14ac:dyDescent="0.2">
      <c r="A22" s="47" t="s">
        <v>43</v>
      </c>
      <c r="B22" s="42" t="s">
        <v>44</v>
      </c>
      <c r="C22" s="90">
        <v>30</v>
      </c>
      <c r="D22" s="89">
        <v>150</v>
      </c>
      <c r="E22" s="271">
        <f t="shared" si="5"/>
        <v>4500</v>
      </c>
      <c r="F22" s="271"/>
      <c r="H22" s="172">
        <v>3</v>
      </c>
    </row>
    <row r="23" spans="1:13" s="36" customFormat="1" ht="22.5" x14ac:dyDescent="0.2">
      <c r="A23" s="47" t="s">
        <v>77</v>
      </c>
      <c r="B23" s="42" t="s">
        <v>20</v>
      </c>
      <c r="C23" s="90">
        <v>1</v>
      </c>
      <c r="D23" s="89">
        <f>_xlfn.CEILING.MATH(2*30000+2*5000+10*50+4*3500+2*1700+2*1200+2*2000+3*1200+2*1200+2500+2000,30000)</f>
        <v>120000</v>
      </c>
      <c r="E23" s="271">
        <f t="shared" si="5"/>
        <v>120000</v>
      </c>
      <c r="F23" s="271"/>
      <c r="H23" s="172">
        <v>2</v>
      </c>
    </row>
    <row r="24" spans="1:13" s="36" customFormat="1" ht="11.25" x14ac:dyDescent="0.2">
      <c r="A24" s="49" t="str">
        <f>CONCATENATE(A20,"  ŁĄCZNIE")</f>
        <v>Peron  ŁĄCZNIE</v>
      </c>
      <c r="B24" s="48"/>
      <c r="C24" s="48"/>
      <c r="D24" s="48"/>
      <c r="E24" s="272">
        <f>SUM(E21:F23)</f>
        <v>2656988.5040000002</v>
      </c>
      <c r="F24" s="272"/>
    </row>
    <row r="25" spans="1:13" s="36" customFormat="1" ht="23.25" thickBot="1" x14ac:dyDescent="0.25">
      <c r="A25" s="38" t="s">
        <v>82</v>
      </c>
      <c r="B25" s="41"/>
      <c r="C25" s="41"/>
      <c r="D25" s="41"/>
      <c r="E25" s="277"/>
      <c r="F25" s="277"/>
    </row>
    <row r="26" spans="1:13" s="36" customFormat="1" ht="12" thickBot="1" x14ac:dyDescent="0.25">
      <c r="A26" s="47" t="s">
        <v>80</v>
      </c>
      <c r="B26" s="42" t="s">
        <v>19</v>
      </c>
      <c r="C26" s="56">
        <f>C28*0.5</f>
        <v>80</v>
      </c>
      <c r="D26" s="44">
        <v>305.11866785714284</v>
      </c>
      <c r="E26" s="271">
        <f t="shared" ref="E26" si="6">C26*D26</f>
        <v>24409.493428571426</v>
      </c>
      <c r="F26" s="271"/>
      <c r="G26" s="36" t="s">
        <v>76</v>
      </c>
      <c r="H26" s="172">
        <v>5</v>
      </c>
      <c r="L26" s="286"/>
      <c r="M26" s="287"/>
    </row>
    <row r="27" spans="1:13" s="36" customFormat="1" ht="11.25" x14ac:dyDescent="0.2">
      <c r="A27" s="47" t="s">
        <v>86</v>
      </c>
      <c r="B27" s="42" t="s">
        <v>44</v>
      </c>
      <c r="C27" s="56">
        <f>20*2*2</f>
        <v>80</v>
      </c>
      <c r="D27" s="44">
        <v>490.14601941747571</v>
      </c>
      <c r="E27" s="271">
        <f t="shared" ref="E27:E29" si="7">C27*D27</f>
        <v>39211.681553398055</v>
      </c>
      <c r="F27" s="271"/>
      <c r="G27" s="36" t="s">
        <v>76</v>
      </c>
      <c r="H27" s="172">
        <v>5</v>
      </c>
    </row>
    <row r="28" spans="1:13" s="36" customFormat="1" ht="22.5" x14ac:dyDescent="0.2">
      <c r="A28" s="47" t="s">
        <v>87</v>
      </c>
      <c r="B28" s="42" t="s">
        <v>54</v>
      </c>
      <c r="C28" s="56">
        <f>8*20</f>
        <v>160</v>
      </c>
      <c r="D28" s="44">
        <v>118.13291000000001</v>
      </c>
      <c r="E28" s="271">
        <f t="shared" si="7"/>
        <v>18901.265600000002</v>
      </c>
      <c r="F28" s="271"/>
      <c r="G28" s="36" t="s">
        <v>76</v>
      </c>
      <c r="H28" s="172">
        <v>5</v>
      </c>
    </row>
    <row r="29" spans="1:13" s="36" customFormat="1" ht="11.25" x14ac:dyDescent="0.2">
      <c r="A29" s="47" t="s">
        <v>81</v>
      </c>
      <c r="B29" s="42" t="s">
        <v>44</v>
      </c>
      <c r="C29" s="56">
        <v>40</v>
      </c>
      <c r="D29" s="44">
        <v>200</v>
      </c>
      <c r="E29" s="271">
        <f t="shared" si="7"/>
        <v>8000</v>
      </c>
      <c r="F29" s="271"/>
      <c r="G29" s="36" t="s">
        <v>83</v>
      </c>
      <c r="H29" s="172">
        <v>5</v>
      </c>
    </row>
    <row r="30" spans="1:13" s="36" customFormat="1" ht="24.95" customHeight="1" x14ac:dyDescent="0.2">
      <c r="A30" s="49" t="str">
        <f>CONCATENATE(A25,"  ŁĄCZNIE")</f>
        <v>Pochylnie, chodniki, drogi dojścia, wraz z zabudową dodatowych ogrodzeń,  labiryntów, barierek  ŁĄCZNIE</v>
      </c>
      <c r="B30" s="48"/>
      <c r="C30" s="48"/>
      <c r="D30" s="48"/>
      <c r="E30" s="272">
        <f>SUM(E26:F29)</f>
        <v>90522.44058196948</v>
      </c>
      <c r="F30" s="272"/>
    </row>
    <row r="31" spans="1:13" s="36" customFormat="1" ht="11.25" customHeight="1" x14ac:dyDescent="0.2">
      <c r="A31" s="38" t="s">
        <v>88</v>
      </c>
      <c r="B31" s="41"/>
      <c r="C31" s="41"/>
      <c r="D31" s="41"/>
      <c r="E31" s="277"/>
      <c r="F31" s="277"/>
    </row>
    <row r="32" spans="1:13" s="36" customFormat="1" ht="33.75" customHeight="1" x14ac:dyDescent="0.2">
      <c r="A32" s="47" t="s">
        <v>89</v>
      </c>
      <c r="B32" s="42" t="s">
        <v>20</v>
      </c>
      <c r="C32" s="56">
        <v>1</v>
      </c>
      <c r="D32" s="89">
        <v>121000</v>
      </c>
      <c r="E32" s="271">
        <f t="shared" ref="E32" si="8">C32*D32</f>
        <v>121000</v>
      </c>
      <c r="F32" s="271"/>
      <c r="G32" s="58" t="s">
        <v>90</v>
      </c>
    </row>
    <row r="33" spans="1:10" s="36" customFormat="1" ht="33.75" customHeight="1" x14ac:dyDescent="0.2">
      <c r="A33" s="47" t="s">
        <v>144</v>
      </c>
      <c r="B33" s="95" t="s">
        <v>20</v>
      </c>
      <c r="C33" s="99">
        <v>1</v>
      </c>
      <c r="D33" s="97">
        <v>10000</v>
      </c>
      <c r="E33" s="271">
        <f t="shared" ref="E33" si="9">C33*D33</f>
        <v>10000</v>
      </c>
      <c r="F33" s="271"/>
      <c r="G33" s="58" t="s">
        <v>90</v>
      </c>
    </row>
    <row r="34" spans="1:10" s="36" customFormat="1" ht="11.25" customHeight="1" x14ac:dyDescent="0.2">
      <c r="A34" s="49" t="str">
        <f>CONCATENATE(A31,"  ŁĄCZNIE")</f>
        <v>Branża elektroenergetyczna  ŁĄCZNIE</v>
      </c>
      <c r="B34" s="48"/>
      <c r="C34" s="48"/>
      <c r="D34" s="48"/>
      <c r="E34" s="272">
        <f>SUM(E32:F33)</f>
        <v>131000</v>
      </c>
      <c r="F34" s="272"/>
    </row>
    <row r="35" spans="1:10" s="36" customFormat="1" ht="11.25" customHeight="1" x14ac:dyDescent="0.2">
      <c r="A35" s="38" t="s">
        <v>91</v>
      </c>
      <c r="B35" s="41"/>
      <c r="C35" s="41"/>
      <c r="D35" s="41"/>
      <c r="E35" s="277"/>
      <c r="F35" s="277"/>
    </row>
    <row r="36" spans="1:10" s="36" customFormat="1" ht="11.25" customHeight="1" x14ac:dyDescent="0.2">
      <c r="A36" s="47" t="s">
        <v>92</v>
      </c>
      <c r="B36" s="42" t="s">
        <v>20</v>
      </c>
      <c r="C36" s="56">
        <v>1</v>
      </c>
      <c r="D36" s="44">
        <v>60000</v>
      </c>
      <c r="E36" s="271">
        <f t="shared" ref="E36" si="10">C36*D36</f>
        <v>60000</v>
      </c>
      <c r="F36" s="271"/>
      <c r="G36" s="58" t="s">
        <v>93</v>
      </c>
    </row>
    <row r="37" spans="1:10" s="36" customFormat="1" ht="11.25" customHeight="1" x14ac:dyDescent="0.2">
      <c r="A37" s="47" t="s">
        <v>94</v>
      </c>
      <c r="B37" s="42" t="s">
        <v>20</v>
      </c>
      <c r="C37" s="56">
        <v>1</v>
      </c>
      <c r="D37" s="44">
        <v>20000</v>
      </c>
      <c r="E37" s="271">
        <f t="shared" ref="E37" si="11">C37*D37</f>
        <v>20000</v>
      </c>
      <c r="F37" s="271"/>
      <c r="G37" s="58" t="s">
        <v>93</v>
      </c>
    </row>
    <row r="38" spans="1:10" s="36" customFormat="1" ht="11.25" customHeight="1" x14ac:dyDescent="0.2">
      <c r="A38" s="49" t="str">
        <f>CONCATENATE(A35,"  ŁĄCZNIE")</f>
        <v>Branża telekomunikacji i automatyki  ŁĄCZNIE</v>
      </c>
      <c r="B38" s="48"/>
      <c r="C38" s="48"/>
      <c r="D38" s="48"/>
      <c r="E38" s="272">
        <f>SUM(E36:F37)</f>
        <v>80000</v>
      </c>
      <c r="F38" s="272"/>
      <c r="G38" s="58"/>
      <c r="J38" s="174" t="s">
        <v>201</v>
      </c>
    </row>
    <row r="39" spans="1:10" s="36" customFormat="1" ht="11.25" customHeight="1" x14ac:dyDescent="0.2">
      <c r="A39" s="38" t="s">
        <v>141</v>
      </c>
      <c r="B39" s="41"/>
      <c r="C39" s="41"/>
      <c r="D39" s="41"/>
      <c r="E39" s="277"/>
      <c r="F39" s="277"/>
      <c r="G39" s="58"/>
    </row>
    <row r="40" spans="1:10" s="36" customFormat="1" ht="11.25" customHeight="1" x14ac:dyDescent="0.2">
      <c r="A40" s="47" t="s">
        <v>143</v>
      </c>
      <c r="B40" s="81" t="s">
        <v>20</v>
      </c>
      <c r="C40" s="43">
        <v>1</v>
      </c>
      <c r="D40" s="80">
        <v>60000</v>
      </c>
      <c r="E40" s="285">
        <f>C40*D40</f>
        <v>60000</v>
      </c>
      <c r="F40" s="285"/>
      <c r="G40" s="58"/>
    </row>
    <row r="41" spans="1:10" s="36" customFormat="1" ht="11.25" customHeight="1" x14ac:dyDescent="0.2">
      <c r="A41" s="49" t="s">
        <v>142</v>
      </c>
      <c r="B41" s="48"/>
      <c r="C41" s="48"/>
      <c r="D41" s="48"/>
      <c r="E41" s="272">
        <f>SUM(E40)</f>
        <v>60000</v>
      </c>
      <c r="F41" s="272"/>
      <c r="G41" s="58"/>
    </row>
    <row r="42" spans="1:10" s="36" customFormat="1" ht="11.25" x14ac:dyDescent="0.2">
      <c r="A42" s="38" t="s">
        <v>42</v>
      </c>
      <c r="B42" s="41"/>
      <c r="C42" s="41"/>
      <c r="D42" s="41"/>
      <c r="E42" s="273"/>
      <c r="F42" s="273"/>
    </row>
    <row r="43" spans="1:10" s="36" customFormat="1" ht="205.5" customHeight="1" x14ac:dyDescent="0.2">
      <c r="A43" s="61" t="s">
        <v>99</v>
      </c>
      <c r="B43" s="62" t="s">
        <v>20</v>
      </c>
      <c r="C43" s="63">
        <v>1</v>
      </c>
      <c r="D43" s="64">
        <f>E54</f>
        <v>167000</v>
      </c>
      <c r="E43" s="278">
        <f t="shared" ref="E43" si="12">C43*D43</f>
        <v>167000</v>
      </c>
      <c r="F43" s="278"/>
    </row>
    <row r="44" spans="1:10" s="36" customFormat="1" ht="27" customHeight="1" x14ac:dyDescent="0.2">
      <c r="A44" s="279" t="s">
        <v>100</v>
      </c>
      <c r="B44" s="280"/>
      <c r="C44" s="280"/>
      <c r="D44" s="280"/>
      <c r="E44" s="280"/>
      <c r="F44" s="281"/>
    </row>
    <row r="45" spans="1:10" s="36" customFormat="1" ht="48.75" customHeight="1" x14ac:dyDescent="0.2">
      <c r="A45" s="282" t="s">
        <v>101</v>
      </c>
      <c r="B45" s="283"/>
      <c r="C45" s="283"/>
      <c r="D45" s="283"/>
      <c r="E45" s="283"/>
      <c r="F45" s="284"/>
    </row>
    <row r="46" spans="1:10" s="36" customFormat="1" ht="73.5" customHeight="1" x14ac:dyDescent="0.2">
      <c r="A46" s="274" t="s">
        <v>102</v>
      </c>
      <c r="B46" s="275"/>
      <c r="C46" s="275"/>
      <c r="D46" s="275"/>
      <c r="E46" s="275"/>
      <c r="F46" s="276"/>
    </row>
    <row r="47" spans="1:10" s="36" customFormat="1" ht="11.1" hidden="1" customHeight="1" x14ac:dyDescent="0.2">
      <c r="A47" s="65" t="s">
        <v>104</v>
      </c>
      <c r="B47" s="66" t="s">
        <v>103</v>
      </c>
      <c r="C47" s="67">
        <v>2.25</v>
      </c>
      <c r="D47" s="68"/>
      <c r="E47" s="268"/>
      <c r="F47" s="269"/>
    </row>
    <row r="48" spans="1:10" s="36" customFormat="1" ht="11.1" hidden="1" customHeight="1" x14ac:dyDescent="0.2">
      <c r="A48" s="65" t="s">
        <v>108</v>
      </c>
      <c r="B48" s="66" t="s">
        <v>103</v>
      </c>
      <c r="C48" s="67">
        <v>1.3</v>
      </c>
      <c r="D48" s="68"/>
      <c r="E48" s="270"/>
      <c r="F48" s="270"/>
    </row>
    <row r="49" spans="1:7" s="36" customFormat="1" ht="11.1" hidden="1" customHeight="1" x14ac:dyDescent="0.2">
      <c r="A49" s="65" t="s">
        <v>109</v>
      </c>
      <c r="B49" s="66" t="s">
        <v>103</v>
      </c>
      <c r="C49" s="67">
        <v>1.1499999999999999</v>
      </c>
      <c r="D49" s="68"/>
      <c r="E49" s="270"/>
      <c r="F49" s="270"/>
    </row>
    <row r="50" spans="1:7" s="36" customFormat="1" ht="29.25" hidden="1" customHeight="1" x14ac:dyDescent="0.2">
      <c r="A50" s="65" t="s">
        <v>110</v>
      </c>
      <c r="B50" s="66" t="s">
        <v>103</v>
      </c>
      <c r="C50" s="67">
        <v>1.2</v>
      </c>
      <c r="D50" s="68"/>
      <c r="E50" s="270"/>
      <c r="F50" s="270"/>
    </row>
    <row r="51" spans="1:7" s="36" customFormat="1" ht="11.1" hidden="1" customHeight="1" x14ac:dyDescent="0.2">
      <c r="A51" s="65" t="s">
        <v>111</v>
      </c>
      <c r="B51" s="66" t="s">
        <v>103</v>
      </c>
      <c r="C51" s="67">
        <f>C47*(C48*C49*C50)</f>
        <v>4.0364999999999993</v>
      </c>
      <c r="D51" s="68"/>
      <c r="E51" s="270"/>
      <c r="F51" s="270"/>
    </row>
    <row r="52" spans="1:7" s="36" customFormat="1" ht="11.1" hidden="1" customHeight="1" x14ac:dyDescent="0.2">
      <c r="A52" s="65" t="s">
        <v>105</v>
      </c>
      <c r="B52" s="42" t="s">
        <v>107</v>
      </c>
      <c r="C52" s="67"/>
      <c r="D52" s="68"/>
      <c r="E52" s="270">
        <f>E59</f>
        <v>4116825.94</v>
      </c>
      <c r="F52" s="270"/>
    </row>
    <row r="53" spans="1:7" s="36" customFormat="1" ht="11.1" hidden="1" customHeight="1" x14ac:dyDescent="0.2">
      <c r="A53" s="47" t="s">
        <v>106</v>
      </c>
      <c r="B53" s="42" t="s">
        <v>107</v>
      </c>
      <c r="C53" s="56"/>
      <c r="D53" s="44"/>
      <c r="E53" s="271">
        <f>E52*C51/100</f>
        <v>166175.67906809997</v>
      </c>
      <c r="F53" s="271"/>
    </row>
    <row r="54" spans="1:7" s="36" customFormat="1" ht="11.1" hidden="1" customHeight="1" x14ac:dyDescent="0.2">
      <c r="A54" s="47"/>
      <c r="B54" s="42"/>
      <c r="C54" s="56"/>
      <c r="D54" s="44"/>
      <c r="E54" s="271">
        <f>_xlfn.CEILING.MATH(E53,1000)</f>
        <v>167000</v>
      </c>
      <c r="F54" s="271"/>
    </row>
    <row r="55" spans="1:7" s="36" customFormat="1" ht="11.1" hidden="1" customHeight="1" x14ac:dyDescent="0.2">
      <c r="A55" s="47"/>
      <c r="B55" s="42"/>
      <c r="C55" s="56"/>
      <c r="D55" s="44"/>
      <c r="E55" s="271"/>
      <c r="F55" s="271"/>
    </row>
    <row r="56" spans="1:7" s="36" customFormat="1" ht="11.1" customHeight="1" x14ac:dyDescent="0.2">
      <c r="A56" s="49" t="str">
        <f>CONCATENATE(A42,"  ŁĄCZNIE")</f>
        <v>Dokumentacja projektowa  ŁĄCZNIE</v>
      </c>
      <c r="B56" s="48"/>
      <c r="C56" s="48"/>
      <c r="D56" s="48"/>
      <c r="E56" s="272">
        <f>E43</f>
        <v>167000</v>
      </c>
      <c r="F56" s="272"/>
    </row>
    <row r="57" spans="1:7" s="36" customFormat="1" ht="11.1" customHeight="1" x14ac:dyDescent="0.2">
      <c r="A57" s="38" t="s">
        <v>112</v>
      </c>
      <c r="B57" s="41"/>
      <c r="C57" s="41"/>
      <c r="D57" s="41"/>
      <c r="E57" s="273"/>
      <c r="F57" s="273"/>
    </row>
    <row r="58" spans="1:7" x14ac:dyDescent="0.25">
      <c r="A58" s="82" t="s">
        <v>96</v>
      </c>
      <c r="B58" s="84" t="s">
        <v>137</v>
      </c>
      <c r="C58" s="85">
        <v>1</v>
      </c>
      <c r="D58" s="86"/>
      <c r="E58" s="263">
        <f>ROUND(E56,2)</f>
        <v>167000</v>
      </c>
      <c r="F58" s="264"/>
    </row>
    <row r="59" spans="1:7" x14ac:dyDescent="0.25">
      <c r="A59" s="59" t="s">
        <v>97</v>
      </c>
      <c r="B59" s="84" t="s">
        <v>137</v>
      </c>
      <c r="C59" s="85">
        <v>2</v>
      </c>
      <c r="D59" s="86"/>
      <c r="E59" s="263">
        <f>ROUND(E5+E13+E16+E19+E24+E30+E34+E38+E41,2)</f>
        <v>4116825.94</v>
      </c>
      <c r="F59" s="264"/>
    </row>
    <row r="60" spans="1:7" x14ac:dyDescent="0.25">
      <c r="A60" s="59" t="s">
        <v>140</v>
      </c>
      <c r="B60" s="84" t="s">
        <v>137</v>
      </c>
      <c r="C60" s="85" t="s">
        <v>138</v>
      </c>
      <c r="D60" s="86"/>
      <c r="E60" s="263">
        <f>ROUND(0.05*(E58+E59),2)</f>
        <v>214191.3</v>
      </c>
      <c r="F60" s="264"/>
    </row>
    <row r="61" spans="1:7" x14ac:dyDescent="0.25">
      <c r="A61" s="265" t="s">
        <v>63</v>
      </c>
      <c r="B61" s="265"/>
      <c r="C61" s="265"/>
      <c r="D61" s="265"/>
      <c r="E61" s="266">
        <f>E58+E59+E60</f>
        <v>4498017.2399999993</v>
      </c>
      <c r="F61" s="265"/>
    </row>
    <row r="62" spans="1:7" x14ac:dyDescent="0.25">
      <c r="A62" s="264" t="s">
        <v>64</v>
      </c>
      <c r="B62" s="264"/>
      <c r="C62" s="264"/>
      <c r="D62" s="264"/>
      <c r="E62" s="263">
        <f>SUM(E61*1.23)</f>
        <v>5532561.2051999988</v>
      </c>
      <c r="F62" s="263"/>
    </row>
    <row r="63" spans="1:7" x14ac:dyDescent="0.25">
      <c r="C63" s="267" t="s">
        <v>66</v>
      </c>
      <c r="D63" s="267"/>
      <c r="E63" s="267"/>
      <c r="F63" s="267"/>
    </row>
    <row r="64" spans="1:7" x14ac:dyDescent="0.25">
      <c r="A64" s="32" t="s">
        <v>49</v>
      </c>
      <c r="B64" s="33"/>
      <c r="C64" s="34"/>
      <c r="D64" s="34"/>
      <c r="E64" s="34"/>
      <c r="F64" s="34"/>
      <c r="G64" s="33"/>
    </row>
    <row r="65" spans="1:7" x14ac:dyDescent="0.25">
      <c r="A65" s="32" t="s">
        <v>51</v>
      </c>
      <c r="B65" s="33"/>
      <c r="C65" s="33"/>
      <c r="D65" s="33"/>
      <c r="E65" s="33"/>
      <c r="F65" s="33"/>
      <c r="G65" s="33"/>
    </row>
    <row r="66" spans="1:7" ht="15" customHeight="1" x14ac:dyDescent="0.25">
      <c r="A66" s="262" t="s">
        <v>123</v>
      </c>
      <c r="B66" s="262"/>
      <c r="C66" s="262"/>
      <c r="D66" s="262"/>
      <c r="E66" s="262"/>
      <c r="F66" s="262"/>
      <c r="G66" s="35"/>
    </row>
    <row r="67" spans="1:7" x14ac:dyDescent="0.25">
      <c r="A67" t="s">
        <v>124</v>
      </c>
    </row>
  </sheetData>
  <mergeCells count="72">
    <mergeCell ref="A66:F66"/>
    <mergeCell ref="E52:F52"/>
    <mergeCell ref="E53:F53"/>
    <mergeCell ref="E54:F54"/>
    <mergeCell ref="A61:D61"/>
    <mergeCell ref="E61:F61"/>
    <mergeCell ref="A62:D62"/>
    <mergeCell ref="E62:F62"/>
    <mergeCell ref="C63:F63"/>
    <mergeCell ref="E55:F55"/>
    <mergeCell ref="E56:F56"/>
    <mergeCell ref="E60:F60"/>
    <mergeCell ref="E3:F3"/>
    <mergeCell ref="E31:F31"/>
    <mergeCell ref="E32:F32"/>
    <mergeCell ref="E34:F34"/>
    <mergeCell ref="E35:F35"/>
    <mergeCell ref="E10:F10"/>
    <mergeCell ref="E13:F13"/>
    <mergeCell ref="E22:F22"/>
    <mergeCell ref="E23:F23"/>
    <mergeCell ref="E24:F24"/>
    <mergeCell ref="E17:F17"/>
    <mergeCell ref="E20:F20"/>
    <mergeCell ref="E21:F21"/>
    <mergeCell ref="E12:F12"/>
    <mergeCell ref="E14:F14"/>
    <mergeCell ref="E33:F33"/>
    <mergeCell ref="E43:F43"/>
    <mergeCell ref="E39:F39"/>
    <mergeCell ref="E40:F40"/>
    <mergeCell ref="E41:F41"/>
    <mergeCell ref="L26:M26"/>
    <mergeCell ref="E27:F27"/>
    <mergeCell ref="E28:F28"/>
    <mergeCell ref="E30:F30"/>
    <mergeCell ref="E29:F29"/>
    <mergeCell ref="E25:F25"/>
    <mergeCell ref="E26:F26"/>
    <mergeCell ref="E37:F37"/>
    <mergeCell ref="E38:F38"/>
    <mergeCell ref="E42:F42"/>
    <mergeCell ref="G7:G8"/>
    <mergeCell ref="E9:F9"/>
    <mergeCell ref="E11:F11"/>
    <mergeCell ref="E6:F6"/>
    <mergeCell ref="A7:A8"/>
    <mergeCell ref="B7:B8"/>
    <mergeCell ref="C7:C8"/>
    <mergeCell ref="D7:D8"/>
    <mergeCell ref="E7:F8"/>
    <mergeCell ref="L21:M21"/>
    <mergeCell ref="E15:F15"/>
    <mergeCell ref="E16:F16"/>
    <mergeCell ref="E18:F18"/>
    <mergeCell ref="E19:F19"/>
    <mergeCell ref="A1:F1"/>
    <mergeCell ref="E2:F2"/>
    <mergeCell ref="E4:F4"/>
    <mergeCell ref="E5:F5"/>
    <mergeCell ref="E59:F59"/>
    <mergeCell ref="A44:F44"/>
    <mergeCell ref="A45:F45"/>
    <mergeCell ref="A46:F46"/>
    <mergeCell ref="E47:F47"/>
    <mergeCell ref="E58:F58"/>
    <mergeCell ref="E48:F48"/>
    <mergeCell ref="E49:F49"/>
    <mergeCell ref="E50:F50"/>
    <mergeCell ref="E51:F51"/>
    <mergeCell ref="E57:F57"/>
    <mergeCell ref="E36:F36"/>
  </mergeCells>
  <pageMargins left="0.70866141732283472" right="0.70866141732283472" top="0.74803149606299213" bottom="0.74803149606299213" header="0.31496062992125984" footer="0.31496062992125984"/>
  <pageSetup paperSize="9" scale="93" fitToHeight="0" orientation="portrait" r:id="rId1"/>
  <rowBreaks count="1" manualBreakCount="1">
    <brk id="41"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S14"/>
  <sheetViews>
    <sheetView view="pageBreakPreview" zoomScaleNormal="130" zoomScaleSheetLayoutView="100" workbookViewId="0">
      <pane ySplit="2" topLeftCell="A3" activePane="bottomLeft" state="frozen"/>
      <selection pane="bottomLeft" sqref="A1:G1"/>
    </sheetView>
  </sheetViews>
  <sheetFormatPr defaultColWidth="9.140625" defaultRowHeight="15" x14ac:dyDescent="0.25"/>
  <cols>
    <col min="1" max="1" width="9.140625" style="107"/>
    <col min="2" max="2" width="51.42578125" style="107" customWidth="1"/>
    <col min="3" max="3" width="9.140625" style="107"/>
    <col min="4" max="4" width="7.85546875" style="192" customWidth="1"/>
    <col min="5" max="5" width="10.5703125" style="107" hidden="1" customWidth="1"/>
    <col min="6" max="6" width="5" style="107" customWidth="1"/>
    <col min="7" max="7" width="9.140625" style="107"/>
    <col min="8" max="8" width="15.85546875" style="107" customWidth="1"/>
    <col min="9" max="9" width="11.85546875" style="109" customWidth="1"/>
    <col min="10" max="15" width="9.140625" style="109"/>
    <col min="16" max="16" width="13.42578125" style="129" customWidth="1"/>
    <col min="17" max="17" width="9.140625" style="107"/>
    <col min="18" max="18" width="9.140625" style="133"/>
    <col min="19" max="16384" width="9.140625" style="107"/>
  </cols>
  <sheetData>
    <row r="1" spans="1:19" ht="48" customHeight="1" x14ac:dyDescent="0.25">
      <c r="A1" s="253" t="s">
        <v>243</v>
      </c>
      <c r="B1" s="253"/>
      <c r="C1" s="253"/>
      <c r="D1" s="253"/>
      <c r="E1" s="253"/>
      <c r="F1" s="253"/>
      <c r="G1" s="253"/>
    </row>
    <row r="2" spans="1:19" s="58" customFormat="1" ht="27.75" customHeight="1" x14ac:dyDescent="0.25">
      <c r="A2" s="194" t="s">
        <v>162</v>
      </c>
      <c r="B2" s="194" t="s">
        <v>161</v>
      </c>
      <c r="C2" s="194" t="s">
        <v>163</v>
      </c>
      <c r="D2" s="182" t="s">
        <v>164</v>
      </c>
      <c r="E2" s="194" t="s">
        <v>35</v>
      </c>
      <c r="F2" s="254" t="s">
        <v>95</v>
      </c>
      <c r="G2" s="254"/>
      <c r="H2" s="79"/>
      <c r="I2" s="106"/>
      <c r="J2" s="106"/>
      <c r="K2" s="106"/>
      <c r="L2" s="106"/>
      <c r="M2" s="106"/>
      <c r="N2" s="106"/>
      <c r="O2" s="106"/>
      <c r="P2" s="130"/>
      <c r="R2" s="134"/>
    </row>
    <row r="3" spans="1:19" s="58" customFormat="1" ht="15" customHeight="1" x14ac:dyDescent="0.25">
      <c r="A3" s="239" t="s">
        <v>239</v>
      </c>
      <c r="B3" s="240"/>
      <c r="C3" s="240"/>
      <c r="D3" s="240"/>
      <c r="E3" s="240"/>
      <c r="F3" s="245"/>
      <c r="G3" s="246"/>
      <c r="H3" s="79"/>
      <c r="I3" s="106"/>
      <c r="J3" s="106"/>
      <c r="K3" s="106"/>
      <c r="L3" s="106"/>
      <c r="M3" s="106"/>
      <c r="N3" s="106"/>
      <c r="O3" s="106"/>
      <c r="P3" s="130"/>
      <c r="R3" s="134"/>
    </row>
    <row r="4" spans="1:19" s="58" customFormat="1" ht="45" customHeight="1" x14ac:dyDescent="0.25">
      <c r="A4" s="61">
        <v>1</v>
      </c>
      <c r="B4" s="61" t="s">
        <v>240</v>
      </c>
      <c r="C4" s="195" t="s">
        <v>20</v>
      </c>
      <c r="D4" s="188">
        <v>1</v>
      </c>
      <c r="E4" s="126" t="e">
        <f>F4/D4</f>
        <v>#VALUE!</v>
      </c>
      <c r="F4" s="249" t="e">
        <f>'Warszowice (RCO)'!G44:H44</f>
        <v>#VALUE!</v>
      </c>
      <c r="G4" s="250"/>
      <c r="I4" s="106"/>
      <c r="J4" s="106"/>
      <c r="K4" s="106"/>
      <c r="L4" s="106"/>
      <c r="M4" s="106"/>
      <c r="N4" s="106"/>
      <c r="O4" s="106"/>
      <c r="P4" s="143"/>
      <c r="Q4" s="108"/>
      <c r="R4" s="138"/>
      <c r="S4" s="144"/>
    </row>
    <row r="5" spans="1:19" s="58" customFormat="1" ht="11.25" x14ac:dyDescent="0.25">
      <c r="A5" s="65"/>
      <c r="B5" s="65"/>
      <c r="C5" s="196"/>
      <c r="D5" s="184"/>
      <c r="E5" s="68"/>
      <c r="F5" s="251"/>
      <c r="G5" s="252"/>
      <c r="I5" s="106"/>
      <c r="J5" s="106"/>
      <c r="K5" s="106"/>
      <c r="L5" s="106"/>
      <c r="M5" s="106"/>
      <c r="N5" s="106"/>
      <c r="O5" s="106"/>
      <c r="P5" s="143"/>
      <c r="Q5" s="108"/>
      <c r="R5" s="138"/>
      <c r="S5" s="144"/>
    </row>
    <row r="6" spans="1:19" s="58" customFormat="1" ht="45" customHeight="1" x14ac:dyDescent="0.25">
      <c r="A6" s="61">
        <f>A4+1</f>
        <v>2</v>
      </c>
      <c r="B6" s="61" t="s">
        <v>241</v>
      </c>
      <c r="C6" s="195" t="s">
        <v>20</v>
      </c>
      <c r="D6" s="188">
        <v>1</v>
      </c>
      <c r="E6" s="126" t="e">
        <f>F6/D6</f>
        <v>#REF!</v>
      </c>
      <c r="F6" s="249" t="e">
        <f>#REF!</f>
        <v>#REF!</v>
      </c>
      <c r="G6" s="250"/>
      <c r="I6" s="106"/>
      <c r="J6" s="106"/>
      <c r="K6" s="106"/>
      <c r="L6" s="106"/>
      <c r="M6" s="106"/>
      <c r="N6" s="106"/>
      <c r="O6" s="106"/>
      <c r="P6" s="132"/>
      <c r="Q6" s="121"/>
      <c r="R6" s="137"/>
      <c r="S6" s="122"/>
    </row>
    <row r="7" spans="1:19" s="58" customFormat="1" ht="11.25" x14ac:dyDescent="0.25">
      <c r="A7" s="65"/>
      <c r="B7" s="65"/>
      <c r="C7" s="196"/>
      <c r="D7" s="184"/>
      <c r="E7" s="68"/>
      <c r="F7" s="251"/>
      <c r="G7" s="252"/>
      <c r="I7" s="106"/>
      <c r="J7" s="106"/>
      <c r="K7" s="106"/>
      <c r="L7" s="106"/>
      <c r="M7" s="106"/>
      <c r="N7" s="106"/>
      <c r="O7" s="106"/>
      <c r="P7" s="127"/>
      <c r="Q7" s="123"/>
      <c r="R7" s="136"/>
      <c r="S7" s="124"/>
    </row>
    <row r="8" spans="1:19" s="58" customFormat="1" ht="11.1" customHeight="1" x14ac:dyDescent="0.25">
      <c r="A8" s="239" t="s">
        <v>196</v>
      </c>
      <c r="B8" s="240"/>
      <c r="C8" s="240"/>
      <c r="D8" s="240"/>
      <c r="E8" s="240"/>
      <c r="F8" s="245"/>
      <c r="G8" s="246"/>
      <c r="I8" s="106"/>
      <c r="J8" s="106"/>
      <c r="K8" s="106"/>
      <c r="L8" s="106"/>
      <c r="M8" s="106"/>
      <c r="N8" s="106"/>
      <c r="O8" s="106"/>
      <c r="P8" s="130"/>
      <c r="R8" s="134"/>
    </row>
    <row r="9" spans="1:19" s="150" customFormat="1" ht="36" hidden="1" x14ac:dyDescent="0.25">
      <c r="A9" s="242"/>
      <c r="B9" s="157" t="s">
        <v>140</v>
      </c>
      <c r="C9" s="152" t="s">
        <v>137</v>
      </c>
      <c r="D9" s="190" t="s">
        <v>206</v>
      </c>
      <c r="E9" s="153"/>
      <c r="F9" s="257" t="e">
        <f>ROUND(0*(#REF!+#REF!),2)</f>
        <v>#REF!</v>
      </c>
      <c r="G9" s="256"/>
      <c r="I9" s="175"/>
      <c r="J9" s="175"/>
      <c r="K9" s="175"/>
      <c r="L9" s="175"/>
      <c r="M9" s="175"/>
      <c r="N9" s="175"/>
      <c r="O9" s="175"/>
      <c r="P9" s="155"/>
      <c r="R9" s="156"/>
    </row>
    <row r="10" spans="1:19" s="150" customFormat="1" ht="12" x14ac:dyDescent="0.25">
      <c r="A10" s="242"/>
      <c r="B10" s="244" t="s">
        <v>63</v>
      </c>
      <c r="C10" s="244"/>
      <c r="D10" s="244"/>
      <c r="E10" s="244"/>
      <c r="F10" s="255" t="e">
        <f>F4+F6</f>
        <v>#VALUE!</v>
      </c>
      <c r="G10" s="244"/>
      <c r="H10" s="119"/>
      <c r="I10" s="145"/>
      <c r="J10" s="175"/>
      <c r="K10" s="175"/>
      <c r="L10" s="175"/>
      <c r="M10" s="175"/>
      <c r="N10" s="175"/>
      <c r="O10" s="175"/>
      <c r="P10" s="155"/>
      <c r="R10" s="156"/>
    </row>
    <row r="11" spans="1:19" s="150" customFormat="1" ht="12" x14ac:dyDescent="0.25">
      <c r="A11" s="243"/>
      <c r="B11" s="256" t="s">
        <v>64</v>
      </c>
      <c r="C11" s="256"/>
      <c r="D11" s="256"/>
      <c r="E11" s="256"/>
      <c r="F11" s="257" t="e">
        <f>SUM(F10*1.23)</f>
        <v>#VALUE!</v>
      </c>
      <c r="G11" s="257"/>
      <c r="I11" s="175"/>
      <c r="J11" s="175"/>
      <c r="K11" s="175"/>
      <c r="L11" s="175"/>
      <c r="M11" s="175"/>
      <c r="N11" s="175"/>
      <c r="O11" s="175"/>
      <c r="P11" s="155"/>
      <c r="R11" s="156"/>
    </row>
    <row r="12" spans="1:19" s="150" customFormat="1" ht="15" customHeight="1" x14ac:dyDescent="0.25">
      <c r="C12" s="259" t="s">
        <v>238</v>
      </c>
      <c r="D12" s="259"/>
      <c r="E12" s="259"/>
      <c r="F12" s="259"/>
      <c r="G12" s="259"/>
      <c r="I12" s="175"/>
      <c r="J12" s="175"/>
      <c r="K12" s="175"/>
      <c r="L12" s="175"/>
      <c r="M12" s="175"/>
      <c r="N12" s="175"/>
      <c r="O12" s="175"/>
      <c r="P12" s="155"/>
      <c r="R12" s="156"/>
    </row>
    <row r="13" spans="1:19" s="150" customFormat="1" ht="12" x14ac:dyDescent="0.25">
      <c r="B13" s="159" t="s">
        <v>51</v>
      </c>
      <c r="D13" s="191"/>
      <c r="I13" s="175"/>
      <c r="J13" s="175"/>
      <c r="K13" s="175"/>
      <c r="L13" s="175"/>
      <c r="M13" s="175"/>
      <c r="N13" s="175"/>
      <c r="O13" s="175"/>
      <c r="P13" s="155"/>
      <c r="R13" s="156"/>
    </row>
    <row r="14" spans="1:19" s="150" customFormat="1" ht="37.5" customHeight="1" x14ac:dyDescent="0.25">
      <c r="B14" s="304" t="s">
        <v>242</v>
      </c>
      <c r="C14" s="258"/>
      <c r="D14" s="258"/>
      <c r="E14" s="258"/>
      <c r="F14" s="258"/>
      <c r="G14" s="258"/>
      <c r="H14" s="160"/>
      <c r="I14" s="175"/>
      <c r="J14" s="175"/>
      <c r="K14" s="175"/>
      <c r="L14" s="175"/>
      <c r="M14" s="175"/>
      <c r="N14" s="175"/>
      <c r="O14" s="175"/>
      <c r="P14" s="155"/>
      <c r="R14" s="156"/>
    </row>
  </sheetData>
  <mergeCells count="18">
    <mergeCell ref="C12:G12"/>
    <mergeCell ref="B14:G14"/>
    <mergeCell ref="A8:E8"/>
    <mergeCell ref="F8:G8"/>
    <mergeCell ref="A9:A11"/>
    <mergeCell ref="F9:G9"/>
    <mergeCell ref="B10:E10"/>
    <mergeCell ref="F10:G10"/>
    <mergeCell ref="B11:E11"/>
    <mergeCell ref="F11:G11"/>
    <mergeCell ref="F4:G4"/>
    <mergeCell ref="F5:G5"/>
    <mergeCell ref="F6:G6"/>
    <mergeCell ref="F7:G7"/>
    <mergeCell ref="A1:G1"/>
    <mergeCell ref="F2:G2"/>
    <mergeCell ref="A3:E3"/>
    <mergeCell ref="F3:G3"/>
  </mergeCells>
  <pageMargins left="0.70866141732283472" right="0.70866141732283472" top="0.74803149606299213" bottom="0.74803149606299213" header="0.31496062992125984" footer="0.31496062992125984"/>
  <pageSetup paperSize="9" scale="9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L66"/>
  <sheetViews>
    <sheetView tabSelected="1" view="pageBreakPreview" topLeftCell="A52" zoomScale="130" zoomScaleNormal="130" zoomScaleSheetLayoutView="130" workbookViewId="0">
      <selection activeCell="C69" sqref="C69"/>
    </sheetView>
  </sheetViews>
  <sheetFormatPr defaultColWidth="9.140625" defaultRowHeight="15" x14ac:dyDescent="0.25"/>
  <cols>
    <col min="1" max="1" width="6.140625" style="107" bestFit="1" customWidth="1"/>
    <col min="2" max="2" width="43" style="107" customWidth="1"/>
    <col min="3" max="3" width="10.5703125" style="107" customWidth="1"/>
    <col min="4" max="4" width="9.140625" style="107"/>
    <col min="5" max="5" width="7.85546875" style="211" customWidth="1"/>
    <col min="6" max="6" width="10.5703125" style="107" customWidth="1"/>
    <col min="7" max="7" width="5" style="107" customWidth="1"/>
    <col min="8" max="8" width="10.42578125" style="107" customWidth="1"/>
    <col min="9" max="16384" width="9.140625" style="107"/>
  </cols>
  <sheetData>
    <row r="1" spans="1:12" customFormat="1" ht="36" customHeight="1" x14ac:dyDescent="0.25">
      <c r="A1" s="393" t="s">
        <v>284</v>
      </c>
      <c r="B1" s="393"/>
      <c r="C1" s="393"/>
      <c r="D1" s="393"/>
      <c r="E1" s="393"/>
      <c r="F1" s="393"/>
      <c r="G1" s="393"/>
      <c r="H1" s="393"/>
    </row>
    <row r="2" spans="1:12" customFormat="1" ht="74.25" customHeight="1" x14ac:dyDescent="0.25">
      <c r="A2" s="391" t="s">
        <v>285</v>
      </c>
      <c r="B2" s="392"/>
      <c r="C2" s="392"/>
      <c r="D2" s="392"/>
      <c r="E2" s="392"/>
      <c r="F2" s="392"/>
      <c r="G2" s="392"/>
      <c r="H2" s="392"/>
    </row>
    <row r="3" spans="1:12" ht="24" customHeight="1" x14ac:dyDescent="0.25">
      <c r="A3" s="226"/>
      <c r="B3" s="226"/>
      <c r="C3" s="231"/>
      <c r="D3" s="226"/>
      <c r="E3" s="226"/>
      <c r="F3" s="226"/>
      <c r="G3" s="226"/>
      <c r="H3" s="226"/>
    </row>
    <row r="4" spans="1:12" s="119" customFormat="1" ht="32.25" customHeight="1" x14ac:dyDescent="0.25">
      <c r="A4" s="234" t="s">
        <v>254</v>
      </c>
      <c r="B4" s="332" t="s">
        <v>161</v>
      </c>
      <c r="C4" s="332"/>
      <c r="D4" s="234" t="s">
        <v>163</v>
      </c>
      <c r="E4" s="235" t="s">
        <v>164</v>
      </c>
      <c r="F4" s="234" t="s">
        <v>35</v>
      </c>
      <c r="G4" s="332" t="s">
        <v>95</v>
      </c>
      <c r="H4" s="332"/>
    </row>
    <row r="5" spans="1:12" s="58" customFormat="1" ht="16.5" customHeight="1" x14ac:dyDescent="0.25">
      <c r="A5" s="218" t="s">
        <v>253</v>
      </c>
      <c r="B5" s="219" t="s">
        <v>42</v>
      </c>
      <c r="C5" s="219"/>
      <c r="D5" s="219"/>
      <c r="E5" s="219"/>
      <c r="F5" s="219"/>
      <c r="G5" s="342"/>
      <c r="H5" s="341"/>
    </row>
    <row r="6" spans="1:12" s="58" customFormat="1" ht="15" customHeight="1" x14ac:dyDescent="0.25">
      <c r="A6" s="239" t="s">
        <v>165</v>
      </c>
      <c r="B6" s="240"/>
      <c r="C6" s="240"/>
      <c r="D6" s="240"/>
      <c r="E6" s="240"/>
      <c r="F6" s="240"/>
      <c r="G6" s="245"/>
      <c r="H6" s="246"/>
    </row>
    <row r="7" spans="1:12" s="58" customFormat="1" ht="45" customHeight="1" x14ac:dyDescent="0.25">
      <c r="A7" s="47">
        <v>1</v>
      </c>
      <c r="B7" s="309" t="s">
        <v>263</v>
      </c>
      <c r="C7" s="310"/>
      <c r="D7" s="213" t="str">
        <f>'Rybnik Niedobczyce (2,5mln)'!B49</f>
        <v>kpl</v>
      </c>
      <c r="E7" s="212">
        <f>Warszowice!C49</f>
        <v>1</v>
      </c>
      <c r="F7" s="43"/>
      <c r="G7" s="294">
        <f>E7*F7</f>
        <v>0</v>
      </c>
      <c r="H7" s="295"/>
    </row>
    <row r="8" spans="1:12" s="119" customFormat="1" ht="11.1" customHeight="1" x14ac:dyDescent="0.25">
      <c r="A8" s="115"/>
      <c r="B8" s="116"/>
      <c r="C8" s="116"/>
      <c r="D8" s="117"/>
      <c r="E8" s="207"/>
      <c r="F8" s="118"/>
      <c r="G8" s="333"/>
      <c r="H8" s="334"/>
    </row>
    <row r="9" spans="1:12" s="58" customFormat="1" ht="16.5" customHeight="1" x14ac:dyDescent="0.25">
      <c r="A9" s="218" t="s">
        <v>255</v>
      </c>
      <c r="B9" s="219" t="s">
        <v>257</v>
      </c>
      <c r="C9" s="219"/>
      <c r="D9" s="219"/>
      <c r="E9" s="219"/>
      <c r="F9" s="219"/>
      <c r="G9" s="219"/>
      <c r="H9" s="220"/>
    </row>
    <row r="10" spans="1:12" s="58" customFormat="1" ht="11.25" x14ac:dyDescent="0.25">
      <c r="A10" s="239" t="s">
        <v>170</v>
      </c>
      <c r="B10" s="240"/>
      <c r="C10" s="240"/>
      <c r="D10" s="240"/>
      <c r="E10" s="240"/>
      <c r="F10" s="240"/>
      <c r="G10" s="245"/>
      <c r="H10" s="246"/>
    </row>
    <row r="11" spans="1:12" s="58" customFormat="1" ht="18" customHeight="1" x14ac:dyDescent="0.25">
      <c r="A11" s="61">
        <v>1</v>
      </c>
      <c r="B11" s="309" t="s">
        <v>122</v>
      </c>
      <c r="C11" s="310"/>
      <c r="D11" s="227" t="str">
        <f>'Rybnik Niedobczyce (2,5mln)'!B16</f>
        <v>km</v>
      </c>
      <c r="E11" s="186">
        <v>0.3</v>
      </c>
      <c r="F11" s="221"/>
      <c r="G11" s="294">
        <f>E11*F11</f>
        <v>0</v>
      </c>
      <c r="H11" s="295"/>
      <c r="L11" s="225"/>
    </row>
    <row r="12" spans="1:12" s="58" customFormat="1" ht="18" customHeight="1" x14ac:dyDescent="0.25">
      <c r="A12" s="61">
        <f>A11+1</f>
        <v>2</v>
      </c>
      <c r="B12" s="309" t="s">
        <v>234</v>
      </c>
      <c r="C12" s="310"/>
      <c r="D12" s="227" t="s">
        <v>174</v>
      </c>
      <c r="E12" s="186">
        <v>0.2</v>
      </c>
      <c r="F12" s="221"/>
      <c r="G12" s="294">
        <f>E12*F12</f>
        <v>0</v>
      </c>
      <c r="H12" s="295"/>
    </row>
    <row r="13" spans="1:12" s="58" customFormat="1" ht="18" customHeight="1" x14ac:dyDescent="0.25">
      <c r="A13" s="47">
        <f>A12+1</f>
        <v>3</v>
      </c>
      <c r="B13" s="309" t="s">
        <v>236</v>
      </c>
      <c r="C13" s="310"/>
      <c r="D13" s="230" t="s">
        <v>20</v>
      </c>
      <c r="E13" s="212">
        <v>1</v>
      </c>
      <c r="F13" s="43"/>
      <c r="G13" s="294">
        <f>E13*F13</f>
        <v>0</v>
      </c>
      <c r="H13" s="295"/>
    </row>
    <row r="14" spans="1:12" s="119" customFormat="1" ht="11.1" customHeight="1" x14ac:dyDescent="0.25">
      <c r="A14" s="115"/>
      <c r="B14" s="116"/>
      <c r="C14" s="116"/>
      <c r="D14" s="117"/>
      <c r="E14" s="207"/>
      <c r="F14" s="118" t="s">
        <v>262</v>
      </c>
      <c r="G14" s="247">
        <f>SUM(G11:H13)</f>
        <v>0</v>
      </c>
      <c r="H14" s="248"/>
    </row>
    <row r="15" spans="1:12" s="58" customFormat="1" ht="11.25" x14ac:dyDescent="0.25">
      <c r="A15" s="239" t="s">
        <v>182</v>
      </c>
      <c r="B15" s="240"/>
      <c r="C15" s="240"/>
      <c r="D15" s="240"/>
      <c r="E15" s="240"/>
      <c r="F15" s="240"/>
      <c r="G15" s="245"/>
      <c r="H15" s="246"/>
    </row>
    <row r="16" spans="1:12" s="58" customFormat="1" ht="45" customHeight="1" x14ac:dyDescent="0.25">
      <c r="A16" s="61">
        <v>1</v>
      </c>
      <c r="B16" s="309" t="s">
        <v>267</v>
      </c>
      <c r="C16" s="310"/>
      <c r="D16" s="227" t="s">
        <v>20</v>
      </c>
      <c r="E16" s="188">
        <v>1</v>
      </c>
      <c r="F16" s="221"/>
      <c r="G16" s="294">
        <f>E16*F16</f>
        <v>0</v>
      </c>
      <c r="H16" s="295"/>
    </row>
    <row r="17" spans="1:8" s="58" customFormat="1" ht="48.75" customHeight="1" x14ac:dyDescent="0.25">
      <c r="A17" s="61">
        <v>2</v>
      </c>
      <c r="B17" s="309" t="s">
        <v>268</v>
      </c>
      <c r="C17" s="310"/>
      <c r="D17" s="230" t="s">
        <v>20</v>
      </c>
      <c r="E17" s="212">
        <v>1</v>
      </c>
      <c r="F17" s="221"/>
      <c r="G17" s="294">
        <f>E17*F17</f>
        <v>0</v>
      </c>
      <c r="H17" s="295"/>
    </row>
    <row r="18" spans="1:8" s="58" customFormat="1" ht="35.25" customHeight="1" x14ac:dyDescent="0.25">
      <c r="A18" s="61">
        <v>3</v>
      </c>
      <c r="B18" s="335" t="s">
        <v>269</v>
      </c>
      <c r="C18" s="336"/>
      <c r="D18" s="227" t="s">
        <v>20</v>
      </c>
      <c r="E18" s="188">
        <v>1</v>
      </c>
      <c r="F18" s="221"/>
      <c r="G18" s="294">
        <f>E18*F18</f>
        <v>0</v>
      </c>
      <c r="H18" s="295"/>
    </row>
    <row r="19" spans="1:8" s="58" customFormat="1" ht="38.25" customHeight="1" x14ac:dyDescent="0.25">
      <c r="A19" s="61">
        <v>4</v>
      </c>
      <c r="B19" s="309" t="s">
        <v>270</v>
      </c>
      <c r="C19" s="310"/>
      <c r="D19" s="227" t="s">
        <v>20</v>
      </c>
      <c r="E19" s="188">
        <v>1</v>
      </c>
      <c r="F19" s="221"/>
      <c r="G19" s="294">
        <f>E19*F19</f>
        <v>0</v>
      </c>
      <c r="H19" s="295"/>
    </row>
    <row r="20" spans="1:8" s="58" customFormat="1" ht="18" customHeight="1" x14ac:dyDescent="0.25">
      <c r="A20" s="47">
        <v>5</v>
      </c>
      <c r="B20" s="309" t="s">
        <v>191</v>
      </c>
      <c r="C20" s="310"/>
      <c r="D20" s="237" t="s">
        <v>20</v>
      </c>
      <c r="E20" s="212">
        <v>1</v>
      </c>
      <c r="F20" s="43"/>
      <c r="G20" s="294">
        <f>E20*F20</f>
        <v>0</v>
      </c>
      <c r="H20" s="295"/>
    </row>
    <row r="21" spans="1:8" s="58" customFormat="1" ht="11.25" x14ac:dyDescent="0.25">
      <c r="A21" s="115"/>
      <c r="B21" s="116"/>
      <c r="C21" s="116"/>
      <c r="D21" s="117"/>
      <c r="E21" s="207"/>
      <c r="F21" s="118" t="s">
        <v>262</v>
      </c>
      <c r="G21" s="247">
        <f>SUM(G16:H20)</f>
        <v>0</v>
      </c>
      <c r="H21" s="248"/>
    </row>
    <row r="22" spans="1:8" s="58" customFormat="1" ht="11.25" customHeight="1" x14ac:dyDescent="0.25">
      <c r="A22" s="239" t="s">
        <v>88</v>
      </c>
      <c r="B22" s="240"/>
      <c r="C22" s="240"/>
      <c r="D22" s="240"/>
      <c r="E22" s="240"/>
      <c r="F22" s="240"/>
      <c r="G22" s="245"/>
      <c r="H22" s="246"/>
    </row>
    <row r="23" spans="1:8" s="58" customFormat="1" ht="33.75" customHeight="1" x14ac:dyDescent="0.25">
      <c r="A23" s="61">
        <f>A14+1</f>
        <v>1</v>
      </c>
      <c r="B23" s="307" t="s">
        <v>271</v>
      </c>
      <c r="C23" s="308"/>
      <c r="D23" s="227" t="s">
        <v>20</v>
      </c>
      <c r="E23" s="188">
        <v>1</v>
      </c>
      <c r="F23" s="221"/>
      <c r="G23" s="249">
        <f>E23*F23</f>
        <v>0</v>
      </c>
      <c r="H23" s="250"/>
    </row>
    <row r="24" spans="1:8" s="58" customFormat="1" ht="108" customHeight="1" x14ac:dyDescent="0.25">
      <c r="A24" s="65"/>
      <c r="B24" s="337" t="s">
        <v>264</v>
      </c>
      <c r="C24" s="338"/>
      <c r="D24" s="229"/>
      <c r="E24" s="208"/>
      <c r="F24" s="222"/>
      <c r="G24" s="251"/>
      <c r="H24" s="252"/>
    </row>
    <row r="25" spans="1:8" s="58" customFormat="1" ht="21.75" customHeight="1" x14ac:dyDescent="0.25">
      <c r="A25" s="111">
        <v>2</v>
      </c>
      <c r="B25" s="335" t="s">
        <v>272</v>
      </c>
      <c r="C25" s="336"/>
      <c r="D25" s="228" t="s">
        <v>20</v>
      </c>
      <c r="E25" s="232">
        <v>1</v>
      </c>
      <c r="F25" s="233"/>
      <c r="G25" s="249">
        <f>E25*F25</f>
        <v>0</v>
      </c>
      <c r="H25" s="250"/>
    </row>
    <row r="26" spans="1:8" s="58" customFormat="1" ht="21.75" customHeight="1" x14ac:dyDescent="0.25">
      <c r="A26" s="61">
        <v>3</v>
      </c>
      <c r="B26" s="307" t="s">
        <v>132</v>
      </c>
      <c r="C26" s="308"/>
      <c r="D26" s="227" t="s">
        <v>20</v>
      </c>
      <c r="E26" s="188">
        <v>1</v>
      </c>
      <c r="F26" s="221"/>
      <c r="G26" s="249">
        <f>E26*F26</f>
        <v>0</v>
      </c>
      <c r="H26" s="250"/>
    </row>
    <row r="27" spans="1:8" s="58" customFormat="1" ht="83.25" customHeight="1" x14ac:dyDescent="0.25">
      <c r="A27" s="65"/>
      <c r="B27" s="337" t="s">
        <v>280</v>
      </c>
      <c r="C27" s="338"/>
      <c r="D27" s="236"/>
      <c r="E27" s="238"/>
      <c r="F27" s="222"/>
      <c r="G27" s="251"/>
      <c r="H27" s="252"/>
    </row>
    <row r="28" spans="1:8" s="58" customFormat="1" ht="11.25" x14ac:dyDescent="0.25">
      <c r="A28" s="115"/>
      <c r="B28" s="116"/>
      <c r="C28" s="116"/>
      <c r="D28" s="117"/>
      <c r="E28" s="207"/>
      <c r="F28" s="118" t="s">
        <v>262</v>
      </c>
      <c r="G28" s="247">
        <f>SUM(G23:H27)</f>
        <v>0</v>
      </c>
      <c r="H28" s="248"/>
    </row>
    <row r="29" spans="1:8" s="58" customFormat="1" ht="11.25" customHeight="1" x14ac:dyDescent="0.25">
      <c r="A29" s="239" t="s">
        <v>91</v>
      </c>
      <c r="B29" s="240"/>
      <c r="C29" s="240"/>
      <c r="D29" s="240"/>
      <c r="E29" s="240"/>
      <c r="F29" s="240"/>
      <c r="G29" s="245"/>
      <c r="H29" s="246"/>
    </row>
    <row r="30" spans="1:8" s="58" customFormat="1" ht="46.5" customHeight="1" x14ac:dyDescent="0.25">
      <c r="A30" s="47">
        <f t="shared" ref="A30" si="0">A28+1</f>
        <v>1</v>
      </c>
      <c r="B30" s="309" t="s">
        <v>273</v>
      </c>
      <c r="C30" s="310"/>
      <c r="D30" s="237" t="s">
        <v>20</v>
      </c>
      <c r="E30" s="212">
        <v>1</v>
      </c>
      <c r="F30" s="385"/>
      <c r="G30" s="285">
        <f>E30*F30</f>
        <v>0</v>
      </c>
      <c r="H30" s="285"/>
    </row>
    <row r="31" spans="1:8" s="58" customFormat="1" ht="22.9" customHeight="1" x14ac:dyDescent="0.25">
      <c r="A31" s="47">
        <v>2</v>
      </c>
      <c r="B31" s="309" t="s">
        <v>274</v>
      </c>
      <c r="C31" s="310"/>
      <c r="D31" s="237" t="s">
        <v>20</v>
      </c>
      <c r="E31" s="212">
        <v>1</v>
      </c>
      <c r="F31" s="385"/>
      <c r="G31" s="285">
        <f>E31*F31</f>
        <v>0</v>
      </c>
      <c r="H31" s="285"/>
    </row>
    <row r="32" spans="1:8" s="58" customFormat="1" ht="22.9" customHeight="1" x14ac:dyDescent="0.25">
      <c r="A32" s="47">
        <v>3</v>
      </c>
      <c r="B32" s="309" t="s">
        <v>275</v>
      </c>
      <c r="C32" s="310"/>
      <c r="D32" s="237" t="s">
        <v>20</v>
      </c>
      <c r="E32" s="212">
        <v>1</v>
      </c>
      <c r="F32" s="385"/>
      <c r="G32" s="285">
        <f>E32*F32</f>
        <v>0</v>
      </c>
      <c r="H32" s="285"/>
    </row>
    <row r="33" spans="1:8" s="58" customFormat="1" ht="22.9" customHeight="1" x14ac:dyDescent="0.25">
      <c r="A33" s="47">
        <v>4</v>
      </c>
      <c r="B33" s="309" t="s">
        <v>276</v>
      </c>
      <c r="C33" s="310"/>
      <c r="D33" s="237" t="s">
        <v>20</v>
      </c>
      <c r="E33" s="212">
        <v>1</v>
      </c>
      <c r="F33" s="385"/>
      <c r="G33" s="285">
        <f t="shared" ref="G33" si="1">E33*F33</f>
        <v>0</v>
      </c>
      <c r="H33" s="285"/>
    </row>
    <row r="34" spans="1:8" s="58" customFormat="1" ht="27.75" customHeight="1" x14ac:dyDescent="0.25">
      <c r="A34" s="47">
        <v>5</v>
      </c>
      <c r="B34" s="309" t="s">
        <v>277</v>
      </c>
      <c r="C34" s="310"/>
      <c r="D34" s="237" t="s">
        <v>20</v>
      </c>
      <c r="E34" s="212">
        <v>1</v>
      </c>
      <c r="F34" s="43"/>
      <c r="G34" s="294">
        <f>E34*F34</f>
        <v>0</v>
      </c>
      <c r="H34" s="295"/>
    </row>
    <row r="35" spans="1:8" s="58" customFormat="1" ht="31.5" customHeight="1" x14ac:dyDescent="0.25">
      <c r="A35" s="47">
        <v>6</v>
      </c>
      <c r="B35" s="309" t="s">
        <v>278</v>
      </c>
      <c r="C35" s="310"/>
      <c r="D35" s="230" t="s">
        <v>20</v>
      </c>
      <c r="E35" s="212">
        <v>1</v>
      </c>
      <c r="F35" s="43"/>
      <c r="G35" s="294">
        <f>E35*F35</f>
        <v>0</v>
      </c>
      <c r="H35" s="295"/>
    </row>
    <row r="36" spans="1:8" s="58" customFormat="1" ht="11.25" x14ac:dyDescent="0.25">
      <c r="A36" s="115"/>
      <c r="B36" s="116"/>
      <c r="C36" s="116"/>
      <c r="D36" s="117"/>
      <c r="E36" s="207"/>
      <c r="F36" s="118" t="s">
        <v>262</v>
      </c>
      <c r="G36" s="247">
        <f>SUM(G30:H35)</f>
        <v>0</v>
      </c>
      <c r="H36" s="248"/>
    </row>
    <row r="37" spans="1:8" s="58" customFormat="1" ht="11.25" customHeight="1" x14ac:dyDescent="0.25">
      <c r="A37" s="239" t="s">
        <v>248</v>
      </c>
      <c r="B37" s="240"/>
      <c r="C37" s="240"/>
      <c r="D37" s="240"/>
      <c r="E37" s="240"/>
      <c r="F37" s="240"/>
      <c r="G37" s="245"/>
      <c r="H37" s="246"/>
    </row>
    <row r="38" spans="1:8" s="58" customFormat="1" ht="17.25" customHeight="1" x14ac:dyDescent="0.25">
      <c r="A38" s="61">
        <f t="shared" ref="A38" si="2">A36+1</f>
        <v>1</v>
      </c>
      <c r="B38" s="307" t="s">
        <v>281</v>
      </c>
      <c r="C38" s="308"/>
      <c r="D38" s="180" t="s">
        <v>20</v>
      </c>
      <c r="E38" s="188">
        <v>1</v>
      </c>
      <c r="F38" s="221"/>
      <c r="G38" s="345">
        <f>E38*F38</f>
        <v>0</v>
      </c>
      <c r="H38" s="346"/>
    </row>
    <row r="39" spans="1:8" s="58" customFormat="1" ht="11.25" x14ac:dyDescent="0.25">
      <c r="A39" s="65"/>
      <c r="B39" s="383"/>
      <c r="C39" s="384"/>
      <c r="D39" s="181"/>
      <c r="E39" s="208"/>
      <c r="F39" s="68"/>
      <c r="G39" s="251"/>
      <c r="H39" s="252"/>
    </row>
    <row r="40" spans="1:8" s="58" customFormat="1" ht="11.25" x14ac:dyDescent="0.25">
      <c r="A40" s="115"/>
      <c r="B40" s="116"/>
      <c r="C40" s="116"/>
      <c r="D40" s="117"/>
      <c r="E40" s="207"/>
      <c r="F40" s="118"/>
      <c r="G40" s="247"/>
      <c r="H40" s="248"/>
    </row>
    <row r="41" spans="1:8" s="58" customFormat="1" ht="11.1" customHeight="1" x14ac:dyDescent="0.25">
      <c r="A41" s="239" t="s">
        <v>246</v>
      </c>
      <c r="B41" s="240"/>
      <c r="C41" s="240"/>
      <c r="D41" s="240"/>
      <c r="E41" s="240"/>
      <c r="F41" s="240"/>
      <c r="G41" s="245"/>
      <c r="H41" s="246"/>
    </row>
    <row r="42" spans="1:8" s="58" customFormat="1" ht="17.25" customHeight="1" x14ac:dyDescent="0.25">
      <c r="A42" s="61"/>
      <c r="B42" s="305" t="s">
        <v>96</v>
      </c>
      <c r="C42" s="306"/>
      <c r="D42" s="205" t="s">
        <v>265</v>
      </c>
      <c r="E42" s="209" t="s">
        <v>197</v>
      </c>
      <c r="F42" s="206"/>
      <c r="G42" s="311">
        <f>G7</f>
        <v>0</v>
      </c>
      <c r="H42" s="312"/>
    </row>
    <row r="43" spans="1:8" s="58" customFormat="1" ht="17.25" customHeight="1" x14ac:dyDescent="0.25">
      <c r="A43" s="65"/>
      <c r="B43" s="305" t="s">
        <v>97</v>
      </c>
      <c r="C43" s="306"/>
      <c r="D43" s="205" t="s">
        <v>265</v>
      </c>
      <c r="E43" s="209" t="s">
        <v>198</v>
      </c>
      <c r="F43" s="206"/>
      <c r="G43" s="311">
        <f>G14+G21+G28+G36+G38</f>
        <v>0</v>
      </c>
      <c r="H43" s="312"/>
    </row>
    <row r="44" spans="1:8" s="58" customFormat="1" ht="18" customHeight="1" x14ac:dyDescent="0.25">
      <c r="A44" s="388" t="s">
        <v>283</v>
      </c>
      <c r="B44" s="389"/>
      <c r="C44" s="389"/>
      <c r="D44" s="389"/>
      <c r="E44" s="389"/>
      <c r="F44" s="390"/>
      <c r="G44" s="313">
        <f>SUM(G42:H43)</f>
        <v>0</v>
      </c>
      <c r="H44" s="314"/>
    </row>
    <row r="45" spans="1:8" s="58" customFormat="1" ht="15.75" customHeight="1" x14ac:dyDescent="0.25">
      <c r="B45" s="214"/>
      <c r="C45" s="214"/>
      <c r="D45" s="215"/>
      <c r="E45" s="215"/>
      <c r="F45" s="215"/>
      <c r="G45" s="215"/>
      <c r="H45" s="215"/>
    </row>
    <row r="46" spans="1:8" s="58" customFormat="1" ht="16.5" customHeight="1" x14ac:dyDescent="0.25">
      <c r="A46" s="218" t="s">
        <v>256</v>
      </c>
      <c r="B46" s="219" t="s">
        <v>258</v>
      </c>
      <c r="C46" s="219"/>
      <c r="D46" s="219"/>
      <c r="E46" s="219"/>
      <c r="F46" s="219"/>
      <c r="G46" s="340"/>
      <c r="H46" s="341"/>
    </row>
    <row r="47" spans="1:8" x14ac:dyDescent="0.25">
      <c r="A47" s="239" t="s">
        <v>249</v>
      </c>
      <c r="B47" s="240"/>
      <c r="C47" s="240"/>
      <c r="D47" s="240"/>
      <c r="E47" s="240"/>
      <c r="F47" s="240"/>
      <c r="G47" s="245"/>
      <c r="H47" s="246"/>
    </row>
    <row r="48" spans="1:8" ht="22.5" customHeight="1" x14ac:dyDescent="0.25">
      <c r="A48" s="197">
        <v>1</v>
      </c>
      <c r="B48" s="328" t="s">
        <v>244</v>
      </c>
      <c r="C48" s="329"/>
      <c r="D48" s="198" t="s">
        <v>20</v>
      </c>
      <c r="E48" s="188">
        <v>1</v>
      </c>
      <c r="F48" s="223"/>
      <c r="G48" s="326">
        <f>E48*F48</f>
        <v>0</v>
      </c>
      <c r="H48" s="327"/>
    </row>
    <row r="49" spans="1:8" ht="83.25" customHeight="1" x14ac:dyDescent="0.25">
      <c r="A49" s="199"/>
      <c r="B49" s="330" t="s">
        <v>279</v>
      </c>
      <c r="C49" s="331"/>
      <c r="D49" s="200"/>
      <c r="E49" s="208"/>
      <c r="F49" s="224"/>
      <c r="G49" s="319"/>
      <c r="H49" s="320"/>
    </row>
    <row r="50" spans="1:8" ht="22.5" customHeight="1" x14ac:dyDescent="0.25">
      <c r="A50" s="197">
        <f>A48+1</f>
        <v>2</v>
      </c>
      <c r="B50" s="328" t="s">
        <v>245</v>
      </c>
      <c r="C50" s="329"/>
      <c r="D50" s="198" t="s">
        <v>20</v>
      </c>
      <c r="E50" s="188">
        <v>1</v>
      </c>
      <c r="F50" s="223"/>
      <c r="G50" s="326">
        <f>E50*F50</f>
        <v>0</v>
      </c>
      <c r="H50" s="327"/>
    </row>
    <row r="51" spans="1:8" ht="68.25" customHeight="1" x14ac:dyDescent="0.25">
      <c r="A51" s="199"/>
      <c r="B51" s="330" t="s">
        <v>266</v>
      </c>
      <c r="C51" s="331"/>
      <c r="D51" s="200"/>
      <c r="E51" s="208"/>
      <c r="F51" s="224"/>
      <c r="G51" s="319"/>
      <c r="H51" s="320"/>
    </row>
    <row r="52" spans="1:8" x14ac:dyDescent="0.25">
      <c r="A52" s="201"/>
      <c r="B52" s="202"/>
      <c r="C52" s="202"/>
      <c r="D52" s="203"/>
      <c r="E52" s="207"/>
      <c r="F52" s="204"/>
      <c r="G52" s="317"/>
      <c r="H52" s="318"/>
    </row>
    <row r="53" spans="1:8" x14ac:dyDescent="0.25">
      <c r="A53" s="239" t="s">
        <v>250</v>
      </c>
      <c r="B53" s="240"/>
      <c r="C53" s="240"/>
      <c r="D53" s="240"/>
      <c r="E53" s="240"/>
      <c r="F53" s="240"/>
      <c r="G53" s="245"/>
      <c r="H53" s="246"/>
    </row>
    <row r="54" spans="1:8" s="58" customFormat="1" ht="18" customHeight="1" x14ac:dyDescent="0.25">
      <c r="A54" s="323" t="s">
        <v>251</v>
      </c>
      <c r="B54" s="324"/>
      <c r="C54" s="325"/>
      <c r="D54" s="205" t="s">
        <v>137</v>
      </c>
      <c r="E54" s="209" t="s">
        <v>259</v>
      </c>
      <c r="F54" s="206"/>
      <c r="G54" s="321">
        <f>G48+G50</f>
        <v>0</v>
      </c>
      <c r="H54" s="322"/>
    </row>
    <row r="56" spans="1:8" x14ac:dyDescent="0.25">
      <c r="A56" s="239" t="s">
        <v>247</v>
      </c>
      <c r="B56" s="240"/>
      <c r="C56" s="240"/>
      <c r="D56" s="240"/>
      <c r="E56" s="240"/>
      <c r="F56" s="240"/>
      <c r="G56" s="245"/>
      <c r="H56" s="246"/>
    </row>
    <row r="57" spans="1:8" s="58" customFormat="1" ht="17.25" customHeight="1" x14ac:dyDescent="0.25">
      <c r="A57" s="291"/>
      <c r="B57" s="315" t="s">
        <v>96</v>
      </c>
      <c r="C57" s="316"/>
      <c r="D57" s="205" t="s">
        <v>137</v>
      </c>
      <c r="E57" s="209" t="s">
        <v>197</v>
      </c>
      <c r="F57" s="206"/>
      <c r="G57" s="311">
        <f>G42</f>
        <v>0</v>
      </c>
      <c r="H57" s="312"/>
    </row>
    <row r="58" spans="1:8" s="58" customFormat="1" ht="17.25" customHeight="1" x14ac:dyDescent="0.25">
      <c r="A58" s="291"/>
      <c r="B58" s="315" t="s">
        <v>97</v>
      </c>
      <c r="C58" s="316"/>
      <c r="D58" s="205" t="s">
        <v>137</v>
      </c>
      <c r="E58" s="209" t="s">
        <v>198</v>
      </c>
      <c r="F58" s="206"/>
      <c r="G58" s="311">
        <f>G43</f>
        <v>0</v>
      </c>
      <c r="H58" s="312"/>
    </row>
    <row r="59" spans="1:8" s="58" customFormat="1" ht="17.25" customHeight="1" x14ac:dyDescent="0.25">
      <c r="A59" s="291"/>
      <c r="B59" s="315" t="s">
        <v>260</v>
      </c>
      <c r="C59" s="316"/>
      <c r="D59" s="205" t="s">
        <v>261</v>
      </c>
      <c r="E59" s="209" t="s">
        <v>259</v>
      </c>
      <c r="F59" s="206"/>
      <c r="G59" s="343">
        <f>G54</f>
        <v>0</v>
      </c>
      <c r="H59" s="344"/>
    </row>
    <row r="60" spans="1:8" s="58" customFormat="1" ht="18.75" customHeight="1" x14ac:dyDescent="0.25">
      <c r="A60" s="314" t="s">
        <v>63</v>
      </c>
      <c r="B60" s="314"/>
      <c r="C60" s="314"/>
      <c r="D60" s="314"/>
      <c r="E60" s="314"/>
      <c r="F60" s="314"/>
      <c r="G60" s="313">
        <f>SUM(G57:H59)</f>
        <v>0</v>
      </c>
      <c r="H60" s="314"/>
    </row>
    <row r="61" spans="1:8" s="58" customFormat="1" ht="11.25" x14ac:dyDescent="0.25">
      <c r="E61" s="210"/>
    </row>
    <row r="62" spans="1:8" s="58" customFormat="1" ht="11.25" x14ac:dyDescent="0.25">
      <c r="B62" s="386" t="s">
        <v>51</v>
      </c>
      <c r="E62" s="210"/>
    </row>
    <row r="63" spans="1:8" s="58" customFormat="1" ht="30" customHeight="1" x14ac:dyDescent="0.25">
      <c r="B63" s="387" t="s">
        <v>282</v>
      </c>
      <c r="E63" s="216"/>
      <c r="F63" s="217"/>
      <c r="G63" s="216"/>
      <c r="H63" s="216"/>
    </row>
    <row r="64" spans="1:8" ht="15" customHeight="1" x14ac:dyDescent="0.25">
      <c r="E64" s="339" t="s">
        <v>252</v>
      </c>
      <c r="F64" s="339"/>
      <c r="G64" s="339"/>
      <c r="H64" s="339"/>
    </row>
    <row r="65" spans="5:8" ht="15" customHeight="1" x14ac:dyDescent="0.25">
      <c r="E65" s="394"/>
      <c r="F65" s="394"/>
      <c r="G65" s="394"/>
      <c r="H65" s="394"/>
    </row>
    <row r="66" spans="5:8" x14ac:dyDescent="0.2">
      <c r="E66" s="395"/>
      <c r="F66" s="395"/>
      <c r="G66" s="395"/>
      <c r="H66" s="395"/>
    </row>
  </sheetData>
  <mergeCells count="103">
    <mergeCell ref="B32:C32"/>
    <mergeCell ref="B33:C33"/>
    <mergeCell ref="B34:C34"/>
    <mergeCell ref="B35:C35"/>
    <mergeCell ref="B39:C39"/>
    <mergeCell ref="A2:H2"/>
    <mergeCell ref="E64:H65"/>
    <mergeCell ref="A1:H1"/>
    <mergeCell ref="G46:H46"/>
    <mergeCell ref="G5:H5"/>
    <mergeCell ref="A44:F44"/>
    <mergeCell ref="G59:H59"/>
    <mergeCell ref="A57:A59"/>
    <mergeCell ref="A60:F60"/>
    <mergeCell ref="A41:F41"/>
    <mergeCell ref="G41:H41"/>
    <mergeCell ref="G42:H42"/>
    <mergeCell ref="G43:H43"/>
    <mergeCell ref="G44:H44"/>
    <mergeCell ref="G39:H39"/>
    <mergeCell ref="G40:H40"/>
    <mergeCell ref="G35:H35"/>
    <mergeCell ref="G28:H28"/>
    <mergeCell ref="A29:F29"/>
    <mergeCell ref="G29:H29"/>
    <mergeCell ref="G37:H37"/>
    <mergeCell ref="G38:H38"/>
    <mergeCell ref="G36:H36"/>
    <mergeCell ref="A37:F37"/>
    <mergeCell ref="G34:H34"/>
    <mergeCell ref="A22:F22"/>
    <mergeCell ref="G22:H22"/>
    <mergeCell ref="G24:H24"/>
    <mergeCell ref="G26:H26"/>
    <mergeCell ref="G27:H27"/>
    <mergeCell ref="G23:H23"/>
    <mergeCell ref="G25:H25"/>
    <mergeCell ref="B26:C26"/>
    <mergeCell ref="B27:C27"/>
    <mergeCell ref="B25:C25"/>
    <mergeCell ref="B24:C24"/>
    <mergeCell ref="B23:C23"/>
    <mergeCell ref="B30:C30"/>
    <mergeCell ref="B31:C31"/>
    <mergeCell ref="G30:H30"/>
    <mergeCell ref="G31:H31"/>
    <mergeCell ref="G32:H32"/>
    <mergeCell ref="G33:H33"/>
    <mergeCell ref="G20:H20"/>
    <mergeCell ref="G21:H21"/>
    <mergeCell ref="A15:F15"/>
    <mergeCell ref="G15:H15"/>
    <mergeCell ref="G18:H18"/>
    <mergeCell ref="G19:H19"/>
    <mergeCell ref="G16:H16"/>
    <mergeCell ref="G17:H17"/>
    <mergeCell ref="B16:C16"/>
    <mergeCell ref="B17:C17"/>
    <mergeCell ref="B18:C18"/>
    <mergeCell ref="B19:C19"/>
    <mergeCell ref="B20:C20"/>
    <mergeCell ref="G14:H14"/>
    <mergeCell ref="G12:H12"/>
    <mergeCell ref="G8:H8"/>
    <mergeCell ref="A10:F10"/>
    <mergeCell ref="G10:H10"/>
    <mergeCell ref="G11:H11"/>
    <mergeCell ref="B11:C11"/>
    <mergeCell ref="B12:C12"/>
    <mergeCell ref="B13:C13"/>
    <mergeCell ref="G4:H4"/>
    <mergeCell ref="A6:F6"/>
    <mergeCell ref="G6:H6"/>
    <mergeCell ref="G7:H7"/>
    <mergeCell ref="B4:C4"/>
    <mergeCell ref="B7:C7"/>
    <mergeCell ref="G13:H13"/>
    <mergeCell ref="G58:H58"/>
    <mergeCell ref="G60:H60"/>
    <mergeCell ref="B57:C57"/>
    <mergeCell ref="B58:C58"/>
    <mergeCell ref="B59:C59"/>
    <mergeCell ref="G52:H52"/>
    <mergeCell ref="G51:H51"/>
    <mergeCell ref="A53:F53"/>
    <mergeCell ref="G53:H53"/>
    <mergeCell ref="G54:H54"/>
    <mergeCell ref="A54:C54"/>
    <mergeCell ref="B51:C51"/>
    <mergeCell ref="B43:C43"/>
    <mergeCell ref="B42:C42"/>
    <mergeCell ref="B38:C38"/>
    <mergeCell ref="A56:F56"/>
    <mergeCell ref="G56:H56"/>
    <mergeCell ref="G57:H57"/>
    <mergeCell ref="A47:F47"/>
    <mergeCell ref="G47:H47"/>
    <mergeCell ref="G48:H48"/>
    <mergeCell ref="G49:H49"/>
    <mergeCell ref="G50:H50"/>
    <mergeCell ref="B48:C48"/>
    <mergeCell ref="B49:C49"/>
    <mergeCell ref="B50:C50"/>
  </mergeCells>
  <pageMargins left="0.31496062992125984" right="0.31496062992125984" top="0.35433070866141736" bottom="0.55118110236220474" header="0.31496062992125984" footer="0.31496062992125984"/>
  <pageSetup paperSize="9" scale="94"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M74"/>
  <sheetViews>
    <sheetView view="pageBreakPreview" topLeftCell="A52" zoomScale="110" zoomScaleNormal="130" zoomScaleSheetLayoutView="110" workbookViewId="0">
      <selection activeCell="E66" sqref="E66:F66"/>
    </sheetView>
  </sheetViews>
  <sheetFormatPr defaultRowHeight="15" x14ac:dyDescent="0.25"/>
  <cols>
    <col min="1" max="1" width="51.42578125" customWidth="1"/>
    <col min="3" max="3" width="8" customWidth="1"/>
    <col min="4" max="4" width="10.5703125" customWidth="1"/>
    <col min="5" max="5" width="5" customWidth="1"/>
    <col min="7" max="7" width="15.85546875" customWidth="1"/>
  </cols>
  <sheetData>
    <row r="1" spans="1:8" ht="31.5" customHeight="1" x14ac:dyDescent="0.25">
      <c r="A1" s="347" t="s">
        <v>125</v>
      </c>
      <c r="B1" s="347"/>
      <c r="C1" s="347"/>
      <c r="D1" s="347"/>
      <c r="E1" s="347"/>
      <c r="F1" s="347"/>
    </row>
    <row r="2" spans="1:8" s="36" customFormat="1" ht="27.75" customHeight="1" x14ac:dyDescent="0.2">
      <c r="A2" s="77" t="s">
        <v>37</v>
      </c>
      <c r="B2" s="77" t="s">
        <v>31</v>
      </c>
      <c r="C2" s="77" t="s">
        <v>32</v>
      </c>
      <c r="D2" s="77" t="s">
        <v>35</v>
      </c>
      <c r="E2" s="298" t="s">
        <v>95</v>
      </c>
      <c r="F2" s="298"/>
      <c r="G2" s="79">
        <f>E66</f>
        <v>4126063.4797560889</v>
      </c>
    </row>
    <row r="3" spans="1:8" s="36" customFormat="1" ht="11.25" customHeight="1" x14ac:dyDescent="0.2">
      <c r="A3" s="38" t="s">
        <v>48</v>
      </c>
      <c r="B3" s="41"/>
      <c r="C3" s="41"/>
      <c r="D3" s="41"/>
      <c r="E3" s="277"/>
      <c r="F3" s="277"/>
    </row>
    <row r="4" spans="1:8" s="36" customFormat="1" ht="11.25" x14ac:dyDescent="0.2">
      <c r="A4" s="47" t="s">
        <v>48</v>
      </c>
      <c r="B4" s="74" t="s">
        <v>20</v>
      </c>
      <c r="C4" s="43">
        <v>1</v>
      </c>
      <c r="D4" s="72">
        <v>2000</v>
      </c>
      <c r="E4" s="285">
        <f>C4*D4</f>
        <v>2000</v>
      </c>
      <c r="F4" s="285"/>
    </row>
    <row r="5" spans="1:8" s="36" customFormat="1" ht="11.25" x14ac:dyDescent="0.2">
      <c r="A5" s="49" t="str">
        <f>CONCATENATE(A3,"  ŁĄCZNIE")</f>
        <v>Przygotowanie placu budowy  ŁĄCZNIE</v>
      </c>
      <c r="B5" s="48"/>
      <c r="C5" s="48"/>
      <c r="D5" s="48"/>
      <c r="E5" s="272">
        <f>SUM(E4)</f>
        <v>2000</v>
      </c>
      <c r="F5" s="272"/>
    </row>
    <row r="6" spans="1:8" s="36" customFormat="1" ht="11.25" x14ac:dyDescent="0.2">
      <c r="A6" s="38" t="s">
        <v>71</v>
      </c>
      <c r="B6" s="41"/>
      <c r="C6" s="41"/>
      <c r="D6" s="41"/>
      <c r="E6" s="277"/>
      <c r="F6" s="277"/>
    </row>
    <row r="7" spans="1:8" s="36" customFormat="1" ht="16.5" customHeight="1" x14ac:dyDescent="0.2">
      <c r="A7" s="290" t="s">
        <v>126</v>
      </c>
      <c r="B7" s="291" t="s">
        <v>20</v>
      </c>
      <c r="C7" s="348">
        <v>1</v>
      </c>
      <c r="D7" s="285">
        <f>596411.47*(200+200)/454*1.1</f>
        <v>578019.92687224678</v>
      </c>
      <c r="E7" s="285">
        <f>C7*D7</f>
        <v>578019.92687224678</v>
      </c>
      <c r="F7" s="285"/>
      <c r="G7" s="296" t="s">
        <v>67</v>
      </c>
    </row>
    <row r="8" spans="1:8" s="36" customFormat="1" ht="17.25" customHeight="1" x14ac:dyDescent="0.2">
      <c r="A8" s="290"/>
      <c r="B8" s="291"/>
      <c r="C8" s="348"/>
      <c r="D8" s="285"/>
      <c r="E8" s="285"/>
      <c r="F8" s="285"/>
      <c r="G8" s="296"/>
    </row>
    <row r="9" spans="1:8" s="36" customFormat="1" ht="17.25" customHeight="1" x14ac:dyDescent="0.2">
      <c r="A9" s="73" t="s">
        <v>72</v>
      </c>
      <c r="B9" s="74" t="s">
        <v>16</v>
      </c>
      <c r="C9" s="43">
        <v>20</v>
      </c>
      <c r="D9" s="72">
        <v>80</v>
      </c>
      <c r="E9" s="285">
        <f t="shared" ref="E9" si="0">C9*D9</f>
        <v>1600</v>
      </c>
      <c r="F9" s="285"/>
      <c r="G9" s="76" t="s">
        <v>127</v>
      </c>
    </row>
    <row r="10" spans="1:8" s="36" customFormat="1" ht="11.25" x14ac:dyDescent="0.2">
      <c r="A10" s="73" t="s">
        <v>70</v>
      </c>
      <c r="B10" s="74" t="s">
        <v>20</v>
      </c>
      <c r="C10" s="43">
        <v>1</v>
      </c>
      <c r="D10" s="72">
        <f>(6*500+4*250+1*2000)*2</f>
        <v>12000</v>
      </c>
      <c r="E10" s="285">
        <f>C10*D10</f>
        <v>12000</v>
      </c>
      <c r="F10" s="285"/>
    </row>
    <row r="11" spans="1:8" s="36" customFormat="1" ht="11.25" x14ac:dyDescent="0.2">
      <c r="A11" s="47" t="s">
        <v>79</v>
      </c>
      <c r="B11" s="74" t="s">
        <v>20</v>
      </c>
      <c r="C11" s="43">
        <v>1</v>
      </c>
      <c r="D11" s="72">
        <v>15000</v>
      </c>
      <c r="E11" s="294">
        <f t="shared" ref="E11:E12" si="1">C11*D11</f>
        <v>15000</v>
      </c>
      <c r="F11" s="295"/>
    </row>
    <row r="12" spans="1:8" s="36" customFormat="1" ht="11.25" x14ac:dyDescent="0.2">
      <c r="A12" s="47" t="s">
        <v>78</v>
      </c>
      <c r="B12" s="74" t="s">
        <v>20</v>
      </c>
      <c r="C12" s="43">
        <v>1</v>
      </c>
      <c r="D12" s="72">
        <v>40000</v>
      </c>
      <c r="E12" s="285">
        <f t="shared" si="1"/>
        <v>40000</v>
      </c>
      <c r="F12" s="285"/>
    </row>
    <row r="13" spans="1:8" s="36" customFormat="1" ht="11.25" x14ac:dyDescent="0.2">
      <c r="A13" s="49" t="str">
        <f>CONCATENATE(A6,"  ŁĄCZNIE")</f>
        <v>Roboty rozbiórkowe peronu  ŁĄCZNIE</v>
      </c>
      <c r="B13" s="48"/>
      <c r="C13" s="48"/>
      <c r="D13" s="48"/>
      <c r="E13" s="272">
        <f>SUM(E7:F12)</f>
        <v>646619.92687224678</v>
      </c>
      <c r="F13" s="272"/>
    </row>
    <row r="14" spans="1:8" s="36" customFormat="1" ht="11.25" x14ac:dyDescent="0.2">
      <c r="A14" s="38" t="s">
        <v>3</v>
      </c>
      <c r="B14" s="41"/>
      <c r="C14" s="41"/>
      <c r="D14" s="41"/>
      <c r="E14" s="277"/>
      <c r="F14" s="277"/>
      <c r="G14" s="36" t="s">
        <v>68</v>
      </c>
      <c r="H14" s="55"/>
    </row>
    <row r="15" spans="1:8" s="36" customFormat="1" ht="11.25" x14ac:dyDescent="0.2">
      <c r="A15" s="47" t="s">
        <v>122</v>
      </c>
      <c r="B15" s="74" t="s">
        <v>118</v>
      </c>
      <c r="C15" s="57">
        <f>250*3</f>
        <v>750</v>
      </c>
      <c r="D15" s="72">
        <v>343.51</v>
      </c>
      <c r="E15" s="285">
        <f t="shared" ref="E15" si="2">C15*D15</f>
        <v>257632.5</v>
      </c>
      <c r="F15" s="285"/>
      <c r="G15" s="54"/>
      <c r="H15" s="55"/>
    </row>
    <row r="16" spans="1:8" s="36" customFormat="1" ht="11.25" x14ac:dyDescent="0.2">
      <c r="A16" s="49" t="str">
        <f>CONCATENATE(A14,"  ŁĄCZNIE")</f>
        <v>Torowisko wraz z podtorzem  ŁĄCZNIE</v>
      </c>
      <c r="B16" s="48"/>
      <c r="C16" s="48"/>
      <c r="D16" s="48"/>
      <c r="E16" s="272">
        <f>SUM(E14:F15)</f>
        <v>257632.5</v>
      </c>
      <c r="F16" s="272"/>
    </row>
    <row r="17" spans="1:13" s="36" customFormat="1" ht="11.25" x14ac:dyDescent="0.2">
      <c r="A17" s="38" t="s">
        <v>85</v>
      </c>
      <c r="B17" s="41"/>
      <c r="C17" s="41"/>
      <c r="D17" s="41"/>
      <c r="E17" s="277"/>
      <c r="F17" s="277"/>
    </row>
    <row r="18" spans="1:13" s="36" customFormat="1" ht="11.25" x14ac:dyDescent="0.2">
      <c r="A18" s="47" t="s">
        <v>9</v>
      </c>
      <c r="B18" s="74" t="s">
        <v>20</v>
      </c>
      <c r="C18" s="75">
        <v>4</v>
      </c>
      <c r="D18" s="72">
        <v>3000</v>
      </c>
      <c r="E18" s="285">
        <f t="shared" ref="E18" si="3">C18*D18</f>
        <v>12000</v>
      </c>
      <c r="F18" s="285"/>
    </row>
    <row r="19" spans="1:13" s="36" customFormat="1" ht="11.25" x14ac:dyDescent="0.2">
      <c r="A19" s="49" t="str">
        <f>CONCATENATE(A17,"  ŁĄCZNIE")</f>
        <v>Oznakowanie, sygnalizacje, sterowanie  ŁĄCZNIE</v>
      </c>
      <c r="B19" s="48"/>
      <c r="C19" s="48"/>
      <c r="D19" s="48"/>
      <c r="E19" s="272">
        <f>SUM(E18:F18)</f>
        <v>12000</v>
      </c>
      <c r="F19" s="272"/>
    </row>
    <row r="20" spans="1:13" s="36" customFormat="1" ht="12" thickBot="1" x14ac:dyDescent="0.25">
      <c r="A20" s="38" t="s">
        <v>84</v>
      </c>
      <c r="B20" s="41"/>
      <c r="C20" s="41"/>
      <c r="D20" s="41"/>
      <c r="E20" s="277"/>
      <c r="F20" s="277"/>
    </row>
    <row r="21" spans="1:13" s="36" customFormat="1" ht="34.5" thickBot="1" x14ac:dyDescent="0.25">
      <c r="A21" s="47" t="s">
        <v>129</v>
      </c>
      <c r="B21" s="74" t="s">
        <v>16</v>
      </c>
      <c r="C21" s="75">
        <f>5.3*150</f>
        <v>795</v>
      </c>
      <c r="D21" s="72">
        <f>1564.81</f>
        <v>1564.81</v>
      </c>
      <c r="E21" s="271">
        <f t="shared" ref="E21:E23" si="4">C21*D21</f>
        <v>1244023.95</v>
      </c>
      <c r="F21" s="271"/>
      <c r="G21" s="36" t="s">
        <v>121</v>
      </c>
      <c r="H21" s="36" t="s">
        <v>130</v>
      </c>
      <c r="L21" s="286"/>
      <c r="M21" s="287"/>
    </row>
    <row r="22" spans="1:13" s="36" customFormat="1" ht="11.25" x14ac:dyDescent="0.2">
      <c r="A22" s="47" t="s">
        <v>128</v>
      </c>
      <c r="B22" s="74" t="s">
        <v>44</v>
      </c>
      <c r="C22" s="75">
        <f>150+2*5</f>
        <v>160</v>
      </c>
      <c r="D22" s="72">
        <v>150</v>
      </c>
      <c r="E22" s="271">
        <f t="shared" si="4"/>
        <v>24000</v>
      </c>
      <c r="F22" s="271"/>
    </row>
    <row r="23" spans="1:13" s="36" customFormat="1" ht="23.25" thickBot="1" x14ac:dyDescent="0.25">
      <c r="A23" s="47" t="s">
        <v>77</v>
      </c>
      <c r="B23" s="74" t="s">
        <v>20</v>
      </c>
      <c r="C23" s="75">
        <v>1</v>
      </c>
      <c r="D23" s="72">
        <f>30000+2*5000+10*50+2*3500+2*1700+2*1200+2*2000+3*1200+2*1200+2500+2000</f>
        <v>67800</v>
      </c>
      <c r="E23" s="271">
        <f t="shared" si="4"/>
        <v>67800</v>
      </c>
      <c r="F23" s="271"/>
    </row>
    <row r="24" spans="1:13" s="36" customFormat="1" ht="12" thickBot="1" x14ac:dyDescent="0.25">
      <c r="A24" s="47" t="s">
        <v>131</v>
      </c>
      <c r="B24" s="74" t="s">
        <v>16</v>
      </c>
      <c r="C24" s="75">
        <f>4*150</f>
        <v>600</v>
      </c>
      <c r="D24" s="72">
        <v>1489.99</v>
      </c>
      <c r="E24" s="271">
        <f t="shared" ref="E24:E26" si="5">C24*D24</f>
        <v>893994</v>
      </c>
      <c r="F24" s="271"/>
      <c r="G24" s="36" t="s">
        <v>76</v>
      </c>
      <c r="H24" s="36" t="s">
        <v>130</v>
      </c>
      <c r="L24" s="286"/>
      <c r="M24" s="287"/>
    </row>
    <row r="25" spans="1:13" s="36" customFormat="1" ht="11.25" x14ac:dyDescent="0.2">
      <c r="A25" s="47" t="s">
        <v>43</v>
      </c>
      <c r="B25" s="74" t="s">
        <v>44</v>
      </c>
      <c r="C25" s="75">
        <f>150</f>
        <v>150</v>
      </c>
      <c r="D25" s="72">
        <v>150</v>
      </c>
      <c r="E25" s="271">
        <f t="shared" si="5"/>
        <v>22500</v>
      </c>
      <c r="F25" s="271"/>
    </row>
    <row r="26" spans="1:13" s="36" customFormat="1" ht="22.5" x14ac:dyDescent="0.2">
      <c r="A26" s="47" t="s">
        <v>77</v>
      </c>
      <c r="B26" s="74" t="s">
        <v>20</v>
      </c>
      <c r="C26" s="75">
        <v>1</v>
      </c>
      <c r="D26" s="72">
        <f>30000+2*5000+10*50+2*3500+2*1700+2*1200+2*2000+3*1200+2*1200+2500+2000</f>
        <v>67800</v>
      </c>
      <c r="E26" s="271">
        <f t="shared" si="5"/>
        <v>67800</v>
      </c>
      <c r="F26" s="271"/>
    </row>
    <row r="27" spans="1:13" s="36" customFormat="1" ht="11.25" x14ac:dyDescent="0.2">
      <c r="A27" s="49" t="str">
        <f>CONCATENATE(A20,"  ŁĄCZNIE")</f>
        <v>Peron  ŁĄCZNIE</v>
      </c>
      <c r="B27" s="48"/>
      <c r="C27" s="48"/>
      <c r="D27" s="48"/>
      <c r="E27" s="272">
        <f>SUM(E21:F26)</f>
        <v>2320117.9500000002</v>
      </c>
      <c r="F27" s="272"/>
    </row>
    <row r="28" spans="1:13" s="36" customFormat="1" ht="23.25" thickBot="1" x14ac:dyDescent="0.25">
      <c r="A28" s="38" t="s">
        <v>82</v>
      </c>
      <c r="B28" s="41"/>
      <c r="C28" s="41"/>
      <c r="D28" s="41"/>
      <c r="E28" s="277"/>
      <c r="F28" s="277"/>
    </row>
    <row r="29" spans="1:13" s="36" customFormat="1" ht="12" thickBot="1" x14ac:dyDescent="0.25">
      <c r="A29" s="47" t="s">
        <v>80</v>
      </c>
      <c r="B29" s="74" t="s">
        <v>19</v>
      </c>
      <c r="C29" s="75">
        <f>C31*0.45</f>
        <v>90</v>
      </c>
      <c r="D29" s="72">
        <v>305.11866785714284</v>
      </c>
      <c r="E29" s="271">
        <f t="shared" ref="E29:E32" si="6">C29*D29</f>
        <v>27460.680107142856</v>
      </c>
      <c r="F29" s="271"/>
      <c r="G29" s="36" t="s">
        <v>76</v>
      </c>
      <c r="L29" s="286"/>
      <c r="M29" s="287"/>
    </row>
    <row r="30" spans="1:13" s="36" customFormat="1" ht="11.25" x14ac:dyDescent="0.2">
      <c r="A30" s="47" t="s">
        <v>86</v>
      </c>
      <c r="B30" s="74" t="s">
        <v>44</v>
      </c>
      <c r="C30" s="75">
        <f>10*2*2</f>
        <v>40</v>
      </c>
      <c r="D30" s="72">
        <v>490.14601941747571</v>
      </c>
      <c r="E30" s="271">
        <f t="shared" si="6"/>
        <v>19605.840776699028</v>
      </c>
      <c r="F30" s="271"/>
      <c r="G30" s="36" t="s">
        <v>76</v>
      </c>
    </row>
    <row r="31" spans="1:13" s="36" customFormat="1" ht="22.5" x14ac:dyDescent="0.2">
      <c r="A31" s="47" t="s">
        <v>87</v>
      </c>
      <c r="B31" s="74" t="s">
        <v>54</v>
      </c>
      <c r="C31" s="75">
        <f>10*15+2*25</f>
        <v>200</v>
      </c>
      <c r="D31" s="72">
        <v>118.13291000000001</v>
      </c>
      <c r="E31" s="271">
        <f t="shared" si="6"/>
        <v>23626.582000000002</v>
      </c>
      <c r="F31" s="271"/>
      <c r="G31" s="36" t="s">
        <v>76</v>
      </c>
    </row>
    <row r="32" spans="1:13" s="36" customFormat="1" ht="11.25" x14ac:dyDescent="0.2">
      <c r="A32" s="47" t="s">
        <v>81</v>
      </c>
      <c r="B32" s="74" t="s">
        <v>44</v>
      </c>
      <c r="C32" s="75">
        <v>40</v>
      </c>
      <c r="D32" s="72">
        <v>200</v>
      </c>
      <c r="E32" s="271">
        <f t="shared" si="6"/>
        <v>8000</v>
      </c>
      <c r="F32" s="271"/>
      <c r="G32" s="36" t="s">
        <v>83</v>
      </c>
    </row>
    <row r="33" spans="1:13" s="36" customFormat="1" ht="24.95" customHeight="1" x14ac:dyDescent="0.2">
      <c r="A33" s="49" t="str">
        <f>CONCATENATE(A28,"  ŁĄCZNIE")</f>
        <v>Pochylnie, chodniki, drogi dojścia, wraz z zabudową dodatowych ogrodzeń,  labiryntów, barierek  ŁĄCZNIE</v>
      </c>
      <c r="B33" s="48"/>
      <c r="C33" s="48"/>
      <c r="D33" s="48"/>
      <c r="E33" s="272">
        <f>SUM(E29:F32)</f>
        <v>78693.102883841886</v>
      </c>
      <c r="F33" s="272"/>
    </row>
    <row r="34" spans="1:13" s="36" customFormat="1" ht="12" hidden="1" thickBot="1" x14ac:dyDescent="0.25">
      <c r="A34" s="38" t="s">
        <v>115</v>
      </c>
      <c r="B34" s="41"/>
      <c r="C34" s="41"/>
      <c r="D34" s="41"/>
      <c r="E34" s="277"/>
      <c r="F34" s="277"/>
    </row>
    <row r="35" spans="1:13" s="36" customFormat="1" ht="34.5" hidden="1" thickBot="1" x14ac:dyDescent="0.25">
      <c r="A35" s="47" t="s">
        <v>34</v>
      </c>
      <c r="B35" s="74" t="s">
        <v>21</v>
      </c>
      <c r="C35" s="75">
        <v>0</v>
      </c>
      <c r="D35" s="72">
        <v>80000</v>
      </c>
      <c r="E35" s="271">
        <f t="shared" ref="E35:E38" si="7">C35*D35</f>
        <v>0</v>
      </c>
      <c r="F35" s="271"/>
      <c r="L35" s="286"/>
      <c r="M35" s="287"/>
    </row>
    <row r="36" spans="1:13" s="36" customFormat="1" ht="22.5" hidden="1" x14ac:dyDescent="0.2">
      <c r="A36" s="47" t="s">
        <v>52</v>
      </c>
      <c r="B36" s="74" t="s">
        <v>21</v>
      </c>
      <c r="C36" s="75">
        <v>0</v>
      </c>
      <c r="D36" s="72">
        <v>27630.85</v>
      </c>
      <c r="E36" s="271">
        <f t="shared" si="7"/>
        <v>0</v>
      </c>
      <c r="F36" s="271"/>
      <c r="L36" s="69"/>
      <c r="M36" s="70"/>
    </row>
    <row r="37" spans="1:13" s="36" customFormat="1" ht="22.5" hidden="1" x14ac:dyDescent="0.2">
      <c r="A37" s="47" t="s">
        <v>53</v>
      </c>
      <c r="B37" s="74" t="s">
        <v>54</v>
      </c>
      <c r="C37" s="75">
        <v>0</v>
      </c>
      <c r="D37" s="72">
        <v>248.52</v>
      </c>
      <c r="E37" s="271">
        <f t="shared" si="7"/>
        <v>0</v>
      </c>
      <c r="F37" s="271"/>
      <c r="L37" s="69"/>
      <c r="M37" s="70"/>
    </row>
    <row r="38" spans="1:13" s="36" customFormat="1" ht="22.5" hidden="1" x14ac:dyDescent="0.2">
      <c r="A38" s="47" t="s">
        <v>55</v>
      </c>
      <c r="B38" s="74" t="s">
        <v>54</v>
      </c>
      <c r="C38" s="75">
        <v>0</v>
      </c>
      <c r="D38" s="72">
        <v>174.26</v>
      </c>
      <c r="E38" s="271">
        <f t="shared" si="7"/>
        <v>0</v>
      </c>
      <c r="F38" s="271"/>
    </row>
    <row r="39" spans="1:13" s="36" customFormat="1" ht="24.95" hidden="1" customHeight="1" x14ac:dyDescent="0.2">
      <c r="A39" s="49" t="str">
        <f>CONCATENATE(A34,"  ŁĄCZNIE")</f>
        <v>Przejazdy  ŁĄCZNIE</v>
      </c>
      <c r="B39" s="48"/>
      <c r="C39" s="48"/>
      <c r="D39" s="48"/>
      <c r="E39" s="272">
        <f>SUM(E35:F38)</f>
        <v>0</v>
      </c>
      <c r="F39" s="272"/>
    </row>
    <row r="40" spans="1:13" s="36" customFormat="1" ht="11.25" customHeight="1" x14ac:dyDescent="0.2">
      <c r="A40" s="38" t="s">
        <v>88</v>
      </c>
      <c r="B40" s="41"/>
      <c r="C40" s="41"/>
      <c r="D40" s="41"/>
      <c r="E40" s="300"/>
      <c r="F40" s="301"/>
    </row>
    <row r="41" spans="1:13" s="36" customFormat="1" ht="33.75" customHeight="1" x14ac:dyDescent="0.2">
      <c r="A41" s="47" t="s">
        <v>89</v>
      </c>
      <c r="B41" s="74" t="s">
        <v>20</v>
      </c>
      <c r="C41" s="75">
        <v>2</v>
      </c>
      <c r="D41" s="72">
        <v>70000</v>
      </c>
      <c r="E41" s="271">
        <f t="shared" ref="E41:E42" si="8">C41*D41</f>
        <v>140000</v>
      </c>
      <c r="F41" s="271"/>
      <c r="G41" s="58" t="s">
        <v>90</v>
      </c>
    </row>
    <row r="42" spans="1:13" s="36" customFormat="1" ht="33.75" customHeight="1" x14ac:dyDescent="0.2">
      <c r="A42" s="47" t="s">
        <v>132</v>
      </c>
      <c r="B42" s="74" t="s">
        <v>20</v>
      </c>
      <c r="C42" s="75">
        <v>1</v>
      </c>
      <c r="D42" s="72">
        <f>4*90000</f>
        <v>360000</v>
      </c>
      <c r="E42" s="271">
        <f t="shared" si="8"/>
        <v>360000</v>
      </c>
      <c r="F42" s="271"/>
      <c r="G42" s="58" t="s">
        <v>90</v>
      </c>
    </row>
    <row r="43" spans="1:13" s="36" customFormat="1" ht="11.25" customHeight="1" x14ac:dyDescent="0.2">
      <c r="A43" s="49" t="str">
        <f>CONCATENATE(A40,"  ŁĄCZNIE")</f>
        <v>Branża elektroenergetyczna  ŁĄCZNIE</v>
      </c>
      <c r="B43" s="48"/>
      <c r="C43" s="48"/>
      <c r="D43" s="48"/>
      <c r="E43" s="272">
        <f>SUM(E41:F42)</f>
        <v>500000</v>
      </c>
      <c r="F43" s="272"/>
    </row>
    <row r="44" spans="1:13" s="36" customFormat="1" ht="11.25" customHeight="1" x14ac:dyDescent="0.2">
      <c r="A44" s="38" t="s">
        <v>91</v>
      </c>
      <c r="B44" s="41"/>
      <c r="C44" s="41"/>
      <c r="D44" s="41"/>
      <c r="E44" s="277"/>
      <c r="F44" s="277"/>
    </row>
    <row r="45" spans="1:13" s="36" customFormat="1" ht="11.25" customHeight="1" x14ac:dyDescent="0.2">
      <c r="A45" s="47" t="s">
        <v>92</v>
      </c>
      <c r="B45" s="74" t="s">
        <v>20</v>
      </c>
      <c r="C45" s="75">
        <v>2</v>
      </c>
      <c r="D45" s="72">
        <v>60000</v>
      </c>
      <c r="E45" s="271">
        <f t="shared" ref="E45:E46" si="9">C45*D45</f>
        <v>120000</v>
      </c>
      <c r="F45" s="271"/>
      <c r="G45" s="58" t="s">
        <v>93</v>
      </c>
    </row>
    <row r="46" spans="1:13" s="36" customFormat="1" ht="11.25" customHeight="1" x14ac:dyDescent="0.2">
      <c r="A46" s="47" t="s">
        <v>94</v>
      </c>
      <c r="B46" s="74" t="s">
        <v>20</v>
      </c>
      <c r="C46" s="75">
        <v>2</v>
      </c>
      <c r="D46" s="72">
        <v>20000</v>
      </c>
      <c r="E46" s="271">
        <f t="shared" si="9"/>
        <v>40000</v>
      </c>
      <c r="F46" s="271"/>
      <c r="G46" s="58" t="s">
        <v>93</v>
      </c>
    </row>
    <row r="47" spans="1:13" s="36" customFormat="1" ht="11.25" customHeight="1" x14ac:dyDescent="0.2">
      <c r="A47" s="49" t="str">
        <f>CONCATENATE(A44,"  ŁĄCZNIE")</f>
        <v>Branża telekomunikacji i automatyki  ŁĄCZNIE</v>
      </c>
      <c r="B47" s="48"/>
      <c r="C47" s="48"/>
      <c r="D47" s="48"/>
      <c r="E47" s="272">
        <f>SUM(E45:F46)</f>
        <v>160000</v>
      </c>
      <c r="F47" s="272"/>
      <c r="G47" s="58"/>
    </row>
    <row r="48" spans="1:13" s="36" customFormat="1" ht="11.25" x14ac:dyDescent="0.2">
      <c r="A48" s="38" t="s">
        <v>42</v>
      </c>
      <c r="B48" s="41"/>
      <c r="C48" s="41"/>
      <c r="D48" s="41"/>
      <c r="E48" s="273"/>
      <c r="F48" s="273"/>
    </row>
    <row r="49" spans="1:6" s="36" customFormat="1" ht="205.5" customHeight="1" x14ac:dyDescent="0.2">
      <c r="A49" s="61" t="s">
        <v>99</v>
      </c>
      <c r="B49" s="62" t="s">
        <v>20</v>
      </c>
      <c r="C49" s="63">
        <v>1</v>
      </c>
      <c r="D49" s="64">
        <f>E60</f>
        <v>149000</v>
      </c>
      <c r="E49" s="278">
        <f t="shared" ref="E49" si="10">C49*D49</f>
        <v>149000</v>
      </c>
      <c r="F49" s="278"/>
    </row>
    <row r="50" spans="1:6" s="36" customFormat="1" ht="27" customHeight="1" x14ac:dyDescent="0.2">
      <c r="A50" s="279" t="s">
        <v>100</v>
      </c>
      <c r="B50" s="280"/>
      <c r="C50" s="280"/>
      <c r="D50" s="280"/>
      <c r="E50" s="280"/>
      <c r="F50" s="281"/>
    </row>
    <row r="51" spans="1:6" s="36" customFormat="1" ht="48.75" customHeight="1" x14ac:dyDescent="0.2">
      <c r="A51" s="282" t="s">
        <v>101</v>
      </c>
      <c r="B51" s="283"/>
      <c r="C51" s="283"/>
      <c r="D51" s="283"/>
      <c r="E51" s="283"/>
      <c r="F51" s="284"/>
    </row>
    <row r="52" spans="1:6" s="36" customFormat="1" ht="73.5" customHeight="1" x14ac:dyDescent="0.2">
      <c r="A52" s="274" t="s">
        <v>102</v>
      </c>
      <c r="B52" s="275"/>
      <c r="C52" s="275"/>
      <c r="D52" s="275"/>
      <c r="E52" s="275"/>
      <c r="F52" s="276"/>
    </row>
    <row r="53" spans="1:6" s="36" customFormat="1" ht="11.1" hidden="1" customHeight="1" x14ac:dyDescent="0.2">
      <c r="A53" s="65" t="s">
        <v>104</v>
      </c>
      <c r="B53" s="66" t="s">
        <v>103</v>
      </c>
      <c r="C53" s="67">
        <v>2.25</v>
      </c>
      <c r="D53" s="68"/>
      <c r="E53" s="268"/>
      <c r="F53" s="269"/>
    </row>
    <row r="54" spans="1:6" s="36" customFormat="1" ht="11.1" hidden="1" customHeight="1" x14ac:dyDescent="0.2">
      <c r="A54" s="65" t="s">
        <v>108</v>
      </c>
      <c r="B54" s="66" t="s">
        <v>103</v>
      </c>
      <c r="C54" s="67">
        <v>1.2</v>
      </c>
      <c r="D54" s="68"/>
      <c r="E54" s="270"/>
      <c r="F54" s="270"/>
    </row>
    <row r="55" spans="1:6" s="36" customFormat="1" ht="11.1" hidden="1" customHeight="1" x14ac:dyDescent="0.2">
      <c r="A55" s="65" t="s">
        <v>109</v>
      </c>
      <c r="B55" s="66" t="s">
        <v>103</v>
      </c>
      <c r="C55" s="67">
        <v>1.1499999999999999</v>
      </c>
      <c r="D55" s="68"/>
      <c r="E55" s="270"/>
      <c r="F55" s="270"/>
    </row>
    <row r="56" spans="1:6" s="36" customFormat="1" ht="29.25" hidden="1" customHeight="1" x14ac:dyDescent="0.2">
      <c r="A56" s="65" t="s">
        <v>110</v>
      </c>
      <c r="B56" s="66" t="s">
        <v>103</v>
      </c>
      <c r="C56" s="67">
        <v>1.2</v>
      </c>
      <c r="D56" s="68"/>
      <c r="E56" s="270"/>
      <c r="F56" s="270"/>
    </row>
    <row r="57" spans="1:6" s="36" customFormat="1" ht="11.1" hidden="1" customHeight="1" x14ac:dyDescent="0.2">
      <c r="A57" s="65" t="s">
        <v>111</v>
      </c>
      <c r="B57" s="66" t="s">
        <v>103</v>
      </c>
      <c r="C57" s="67">
        <f>C53*(C54*C55*C56)</f>
        <v>3.726</v>
      </c>
      <c r="D57" s="68"/>
      <c r="E57" s="270"/>
      <c r="F57" s="270"/>
    </row>
    <row r="58" spans="1:6" s="36" customFormat="1" ht="11.1" hidden="1" customHeight="1" x14ac:dyDescent="0.2">
      <c r="A58" s="65" t="s">
        <v>105</v>
      </c>
      <c r="B58" s="74" t="s">
        <v>107</v>
      </c>
      <c r="C58" s="67"/>
      <c r="D58" s="68"/>
      <c r="E58" s="270">
        <f>E65</f>
        <v>3977063.4797560889</v>
      </c>
      <c r="F58" s="270"/>
    </row>
    <row r="59" spans="1:6" s="36" customFormat="1" ht="11.1" hidden="1" customHeight="1" x14ac:dyDescent="0.2">
      <c r="A59" s="47" t="s">
        <v>106</v>
      </c>
      <c r="B59" s="74" t="s">
        <v>107</v>
      </c>
      <c r="C59" s="75"/>
      <c r="D59" s="72"/>
      <c r="E59" s="271">
        <f>E58*C57/100</f>
        <v>148185.38525571188</v>
      </c>
      <c r="F59" s="271"/>
    </row>
    <row r="60" spans="1:6" s="36" customFormat="1" ht="11.1" hidden="1" customHeight="1" x14ac:dyDescent="0.2">
      <c r="A60" s="47"/>
      <c r="B60" s="74"/>
      <c r="C60" s="75"/>
      <c r="D60" s="72"/>
      <c r="E60" s="271">
        <f>_xlfn.CEILING.MATH(E59,1000)</f>
        <v>149000</v>
      </c>
      <c r="F60" s="271"/>
    </row>
    <row r="61" spans="1:6" s="36" customFormat="1" ht="11.1" hidden="1" customHeight="1" x14ac:dyDescent="0.2">
      <c r="A61" s="47"/>
      <c r="B61" s="74"/>
      <c r="C61" s="75"/>
      <c r="D61" s="72"/>
      <c r="E61" s="271"/>
      <c r="F61" s="271"/>
    </row>
    <row r="62" spans="1:6" s="36" customFormat="1" ht="11.1" customHeight="1" x14ac:dyDescent="0.2">
      <c r="A62" s="49" t="str">
        <f>CONCATENATE(A48,"  ŁĄCZNIE")</f>
        <v>Dokumentacja projektowa  ŁĄCZNIE</v>
      </c>
      <c r="B62" s="48"/>
      <c r="C62" s="48"/>
      <c r="D62" s="48"/>
      <c r="E62" s="272">
        <f>E49</f>
        <v>149000</v>
      </c>
      <c r="F62" s="272"/>
    </row>
    <row r="63" spans="1:6" s="36" customFormat="1" ht="11.1" customHeight="1" x14ac:dyDescent="0.2">
      <c r="A63" s="38" t="s">
        <v>112</v>
      </c>
      <c r="B63" s="41"/>
      <c r="C63" s="41"/>
      <c r="D63" s="41"/>
      <c r="E63" s="273"/>
      <c r="F63" s="273"/>
    </row>
    <row r="64" spans="1:6" x14ac:dyDescent="0.25">
      <c r="A64" s="59" t="s">
        <v>96</v>
      </c>
      <c r="B64" s="59"/>
      <c r="C64" s="59"/>
      <c r="D64" s="59"/>
      <c r="E64" s="263">
        <f>E62</f>
        <v>149000</v>
      </c>
      <c r="F64" s="264"/>
    </row>
    <row r="65" spans="1:7" x14ac:dyDescent="0.25">
      <c r="A65" s="59" t="s">
        <v>97</v>
      </c>
      <c r="B65" s="59"/>
      <c r="C65" s="59"/>
      <c r="D65" s="59"/>
      <c r="E65" s="263">
        <f>E5+E13+E16+E19+E27+E33+E43+E47+E39</f>
        <v>3977063.4797560889</v>
      </c>
      <c r="F65" s="264"/>
    </row>
    <row r="66" spans="1:7" x14ac:dyDescent="0.25">
      <c r="A66" s="265" t="s">
        <v>63</v>
      </c>
      <c r="B66" s="265"/>
      <c r="C66" s="265"/>
      <c r="D66" s="265"/>
      <c r="E66" s="266">
        <f>E64+E65</f>
        <v>4126063.4797560889</v>
      </c>
      <c r="F66" s="265"/>
    </row>
    <row r="67" spans="1:7" x14ac:dyDescent="0.25">
      <c r="A67" s="264" t="s">
        <v>64</v>
      </c>
      <c r="B67" s="264"/>
      <c r="C67" s="264"/>
      <c r="D67" s="264"/>
      <c r="E67" s="263">
        <f>SUM(E66*1.23)</f>
        <v>5075058.0800999897</v>
      </c>
      <c r="F67" s="263"/>
    </row>
    <row r="68" spans="1:7" x14ac:dyDescent="0.25">
      <c r="C68" s="267" t="s">
        <v>133</v>
      </c>
      <c r="D68" s="267"/>
      <c r="E68" s="267"/>
      <c r="F68" s="267"/>
    </row>
    <row r="69" spans="1:7" x14ac:dyDescent="0.25">
      <c r="A69" s="32" t="s">
        <v>49</v>
      </c>
      <c r="B69" s="33"/>
      <c r="C69" s="34"/>
      <c r="D69" s="34"/>
      <c r="E69" s="34"/>
      <c r="F69" s="34"/>
      <c r="G69" s="33"/>
    </row>
    <row r="70" spans="1:7" ht="15" customHeight="1" x14ac:dyDescent="0.25">
      <c r="A70" s="349" t="s">
        <v>50</v>
      </c>
      <c r="B70" s="349"/>
      <c r="C70" s="349"/>
      <c r="D70" s="349"/>
      <c r="E70" s="349"/>
      <c r="F70" s="349"/>
      <c r="G70" s="35"/>
    </row>
    <row r="71" spans="1:7" x14ac:dyDescent="0.25">
      <c r="A71" s="349"/>
      <c r="B71" s="349"/>
      <c r="C71" s="349"/>
      <c r="D71" s="349"/>
      <c r="E71" s="349"/>
      <c r="F71" s="349"/>
      <c r="G71" s="35"/>
    </row>
    <row r="72" spans="1:7" x14ac:dyDescent="0.25">
      <c r="A72" s="71"/>
      <c r="B72" s="71"/>
      <c r="C72" s="71"/>
      <c r="D72" s="71"/>
      <c r="E72" s="71"/>
      <c r="F72" s="71"/>
      <c r="G72" s="35"/>
    </row>
    <row r="73" spans="1:7" x14ac:dyDescent="0.25">
      <c r="A73" s="32" t="s">
        <v>51</v>
      </c>
      <c r="B73" s="33"/>
      <c r="C73" s="33"/>
      <c r="D73" s="33"/>
      <c r="E73" s="33"/>
      <c r="F73" s="33"/>
      <c r="G73" s="33"/>
    </row>
    <row r="74" spans="1:7" ht="15" customHeight="1" x14ac:dyDescent="0.25">
      <c r="A74" s="262" t="s">
        <v>98</v>
      </c>
      <c r="B74" s="262"/>
      <c r="C74" s="262"/>
      <c r="D74" s="262"/>
      <c r="E74" s="262"/>
      <c r="F74" s="262"/>
      <c r="G74" s="35"/>
    </row>
  </sheetData>
  <mergeCells count="80">
    <mergeCell ref="C68:F68"/>
    <mergeCell ref="A70:F71"/>
    <mergeCell ref="A74:F74"/>
    <mergeCell ref="L21:M21"/>
    <mergeCell ref="E22:F22"/>
    <mergeCell ref="E23:F23"/>
    <mergeCell ref="E63:F63"/>
    <mergeCell ref="E64:F64"/>
    <mergeCell ref="E65:F65"/>
    <mergeCell ref="A66:D66"/>
    <mergeCell ref="E66:F66"/>
    <mergeCell ref="A67:D67"/>
    <mergeCell ref="E67:F67"/>
    <mergeCell ref="E57:F57"/>
    <mergeCell ref="E58:F58"/>
    <mergeCell ref="E59:F59"/>
    <mergeCell ref="E60:F60"/>
    <mergeCell ref="E61:F61"/>
    <mergeCell ref="E62:F62"/>
    <mergeCell ref="A51:F51"/>
    <mergeCell ref="A52:F52"/>
    <mergeCell ref="E53:F53"/>
    <mergeCell ref="E54:F54"/>
    <mergeCell ref="E55:F55"/>
    <mergeCell ref="E56:F56"/>
    <mergeCell ref="A50:F50"/>
    <mergeCell ref="E39:F39"/>
    <mergeCell ref="E40:F40"/>
    <mergeCell ref="E41:F41"/>
    <mergeCell ref="E42:F42"/>
    <mergeCell ref="E43:F43"/>
    <mergeCell ref="E44:F44"/>
    <mergeCell ref="E45:F45"/>
    <mergeCell ref="E46:F46"/>
    <mergeCell ref="E47:F47"/>
    <mergeCell ref="E48:F48"/>
    <mergeCell ref="E49:F49"/>
    <mergeCell ref="L24:M24"/>
    <mergeCell ref="E25:F25"/>
    <mergeCell ref="E26:F26"/>
    <mergeCell ref="E27:F27"/>
    <mergeCell ref="E38:F38"/>
    <mergeCell ref="E29:F29"/>
    <mergeCell ref="L29:M29"/>
    <mergeCell ref="E30:F30"/>
    <mergeCell ref="E31:F31"/>
    <mergeCell ref="E32:F32"/>
    <mergeCell ref="E33:F33"/>
    <mergeCell ref="E34:F34"/>
    <mergeCell ref="E35:F35"/>
    <mergeCell ref="L35:M35"/>
    <mergeCell ref="E36:F36"/>
    <mergeCell ref="E37:F37"/>
    <mergeCell ref="E28:F28"/>
    <mergeCell ref="E21:F21"/>
    <mergeCell ref="E16:F16"/>
    <mergeCell ref="E17:F17"/>
    <mergeCell ref="E18:F18"/>
    <mergeCell ref="E19:F19"/>
    <mergeCell ref="E20:F20"/>
    <mergeCell ref="E24:F24"/>
    <mergeCell ref="E15:F15"/>
    <mergeCell ref="E9:F9"/>
    <mergeCell ref="E10:F10"/>
    <mergeCell ref="E11:F11"/>
    <mergeCell ref="E12:F12"/>
    <mergeCell ref="E13:F13"/>
    <mergeCell ref="E14:F14"/>
    <mergeCell ref="G7:G8"/>
    <mergeCell ref="A1:F1"/>
    <mergeCell ref="E2:F2"/>
    <mergeCell ref="E3:F3"/>
    <mergeCell ref="E4:F4"/>
    <mergeCell ref="E5:F5"/>
    <mergeCell ref="E6:F6"/>
    <mergeCell ref="A7:A8"/>
    <mergeCell ref="B7:B8"/>
    <mergeCell ref="C7:C8"/>
    <mergeCell ref="D7:D8"/>
    <mergeCell ref="E7:F8"/>
  </mergeCells>
  <pageMargins left="0.70866141732283472" right="0.70866141732283472" top="0.74803149606299213" bottom="0.74803149606299213" header="0.31496062992125984" footer="0.31496062992125984"/>
  <pageSetup paperSize="9" scale="93" fitToHeight="0" orientation="portrait" r:id="rId1"/>
  <rowBreaks count="1" manualBreakCount="1">
    <brk id="47"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M66"/>
  <sheetViews>
    <sheetView view="pageBreakPreview" zoomScale="130" zoomScaleNormal="130" zoomScaleSheetLayoutView="130" workbookViewId="0">
      <pane ySplit="2" topLeftCell="A57" activePane="bottomLeft" state="frozen"/>
      <selection pane="bottomLeft" activeCell="A22" sqref="A22"/>
    </sheetView>
  </sheetViews>
  <sheetFormatPr defaultRowHeight="15" x14ac:dyDescent="0.25"/>
  <cols>
    <col min="1" max="1" width="51.42578125" customWidth="1"/>
    <col min="3" max="3" width="7.42578125" customWidth="1"/>
    <col min="4" max="4" width="10.5703125" customWidth="1"/>
    <col min="5" max="5" width="5" customWidth="1"/>
    <col min="7" max="7" width="15.85546875" customWidth="1"/>
    <col min="9" max="9" width="9.85546875" bestFit="1" customWidth="1"/>
  </cols>
  <sheetData>
    <row r="1" spans="1:8" x14ac:dyDescent="0.25">
      <c r="A1" s="297" t="s">
        <v>134</v>
      </c>
      <c r="B1" s="297"/>
      <c r="C1" s="297"/>
      <c r="D1" s="297"/>
      <c r="E1" s="297"/>
      <c r="F1" s="297"/>
    </row>
    <row r="2" spans="1:8" s="36" customFormat="1" ht="27.75" customHeight="1" x14ac:dyDescent="0.2">
      <c r="A2" s="77" t="s">
        <v>37</v>
      </c>
      <c r="B2" s="77" t="s">
        <v>31</v>
      </c>
      <c r="C2" s="77" t="s">
        <v>32</v>
      </c>
      <c r="D2" s="77" t="s">
        <v>35</v>
      </c>
      <c r="E2" s="298" t="s">
        <v>95</v>
      </c>
      <c r="F2" s="298"/>
      <c r="G2" s="79">
        <f>E58</f>
        <v>3096880.1824954925</v>
      </c>
    </row>
    <row r="3" spans="1:8" s="36" customFormat="1" ht="11.25" customHeight="1" x14ac:dyDescent="0.2">
      <c r="A3" s="38" t="s">
        <v>48</v>
      </c>
      <c r="B3" s="41"/>
      <c r="C3" s="41"/>
      <c r="D3" s="41"/>
      <c r="E3" s="277"/>
      <c r="F3" s="277"/>
    </row>
    <row r="4" spans="1:8" s="36" customFormat="1" ht="11.25" x14ac:dyDescent="0.2">
      <c r="A4" s="47" t="s">
        <v>48</v>
      </c>
      <c r="B4" s="74" t="s">
        <v>20</v>
      </c>
      <c r="C4" s="43">
        <v>1</v>
      </c>
      <c r="D4" s="72">
        <v>2000</v>
      </c>
      <c r="E4" s="285">
        <f>C4*D4</f>
        <v>2000</v>
      </c>
      <c r="F4" s="285"/>
    </row>
    <row r="5" spans="1:8" s="36" customFormat="1" ht="11.25" x14ac:dyDescent="0.2">
      <c r="A5" s="49" t="str">
        <f>CONCATENATE(A3,"  ŁĄCZNIE")</f>
        <v>Przygotowanie placu budowy  ŁĄCZNIE</v>
      </c>
      <c r="B5" s="48"/>
      <c r="C5" s="48"/>
      <c r="D5" s="48"/>
      <c r="E5" s="272">
        <f>SUM(E4)</f>
        <v>2000</v>
      </c>
      <c r="F5" s="272"/>
    </row>
    <row r="6" spans="1:8" s="36" customFormat="1" ht="11.25" hidden="1" x14ac:dyDescent="0.2">
      <c r="A6" s="38" t="s">
        <v>71</v>
      </c>
      <c r="B6" s="41"/>
      <c r="C6" s="41"/>
      <c r="D6" s="41"/>
      <c r="E6" s="277"/>
      <c r="F6" s="277"/>
    </row>
    <row r="7" spans="1:8" s="36" customFormat="1" ht="16.5" hidden="1" customHeight="1" x14ac:dyDescent="0.2">
      <c r="A7" s="290" t="s">
        <v>69</v>
      </c>
      <c r="B7" s="291" t="s">
        <v>20</v>
      </c>
      <c r="C7" s="348">
        <v>0</v>
      </c>
      <c r="D7" s="285">
        <f>596411.47*225/454*0.7</f>
        <v>206904.86018722467</v>
      </c>
      <c r="E7" s="285">
        <f>C7*D7</f>
        <v>0</v>
      </c>
      <c r="F7" s="285"/>
      <c r="G7" s="296" t="s">
        <v>67</v>
      </c>
    </row>
    <row r="8" spans="1:8" s="36" customFormat="1" ht="17.25" hidden="1" customHeight="1" x14ac:dyDescent="0.2">
      <c r="A8" s="290"/>
      <c r="B8" s="291"/>
      <c r="C8" s="348"/>
      <c r="D8" s="285"/>
      <c r="E8" s="285"/>
      <c r="F8" s="285"/>
      <c r="G8" s="296"/>
    </row>
    <row r="9" spans="1:8" s="36" customFormat="1" ht="17.25" hidden="1" customHeight="1" x14ac:dyDescent="0.2">
      <c r="A9" s="73" t="s">
        <v>72</v>
      </c>
      <c r="B9" s="74" t="s">
        <v>16</v>
      </c>
      <c r="C9" s="43">
        <v>0</v>
      </c>
      <c r="D9" s="72">
        <v>80</v>
      </c>
      <c r="E9" s="285">
        <f t="shared" ref="E9" si="0">C9*D9</f>
        <v>0</v>
      </c>
      <c r="F9" s="285"/>
      <c r="G9" s="76"/>
    </row>
    <row r="10" spans="1:8" s="36" customFormat="1" ht="11.25" hidden="1" x14ac:dyDescent="0.2">
      <c r="A10" s="73" t="s">
        <v>70</v>
      </c>
      <c r="B10" s="74" t="s">
        <v>20</v>
      </c>
      <c r="C10" s="43">
        <v>0</v>
      </c>
      <c r="D10" s="72">
        <f>8*500+4*250+1*2000</f>
        <v>7000</v>
      </c>
      <c r="E10" s="285">
        <f>C10*D10</f>
        <v>0</v>
      </c>
      <c r="F10" s="285"/>
    </row>
    <row r="11" spans="1:8" s="36" customFormat="1" ht="11.25" hidden="1" x14ac:dyDescent="0.2">
      <c r="A11" s="47" t="s">
        <v>79</v>
      </c>
      <c r="B11" s="74" t="s">
        <v>20</v>
      </c>
      <c r="C11" s="43">
        <v>0</v>
      </c>
      <c r="D11" s="72">
        <v>10000</v>
      </c>
      <c r="E11" s="294">
        <f t="shared" ref="E11:E12" si="1">C11*D11</f>
        <v>0</v>
      </c>
      <c r="F11" s="295"/>
    </row>
    <row r="12" spans="1:8" s="36" customFormat="1" ht="11.25" hidden="1" x14ac:dyDescent="0.2">
      <c r="A12" s="47" t="s">
        <v>78</v>
      </c>
      <c r="B12" s="74" t="s">
        <v>20</v>
      </c>
      <c r="C12" s="43">
        <v>0</v>
      </c>
      <c r="D12" s="72">
        <v>20000</v>
      </c>
      <c r="E12" s="285">
        <f t="shared" si="1"/>
        <v>0</v>
      </c>
      <c r="F12" s="285"/>
    </row>
    <row r="13" spans="1:8" s="36" customFormat="1" ht="11.25" hidden="1" x14ac:dyDescent="0.2">
      <c r="A13" s="49" t="str">
        <f>CONCATENATE(A6,"  ŁĄCZNIE")</f>
        <v>Roboty rozbiórkowe peronu  ŁĄCZNIE</v>
      </c>
      <c r="B13" s="48"/>
      <c r="C13" s="48"/>
      <c r="D13" s="48"/>
      <c r="E13" s="272">
        <f>SUM(E7:F12)</f>
        <v>0</v>
      </c>
      <c r="F13" s="272"/>
    </row>
    <row r="14" spans="1:8" s="36" customFormat="1" ht="11.25" x14ac:dyDescent="0.2">
      <c r="A14" s="38" t="s">
        <v>3</v>
      </c>
      <c r="B14" s="41"/>
      <c r="C14" s="41"/>
      <c r="D14" s="41"/>
      <c r="E14" s="277"/>
      <c r="F14" s="277"/>
      <c r="G14" s="36" t="s">
        <v>68</v>
      </c>
      <c r="H14" s="55"/>
    </row>
    <row r="15" spans="1:8" s="36" customFormat="1" ht="11.25" x14ac:dyDescent="0.2">
      <c r="A15" s="47" t="s">
        <v>122</v>
      </c>
      <c r="B15" s="74" t="s">
        <v>118</v>
      </c>
      <c r="C15" s="57">
        <f>250*4</f>
        <v>1000</v>
      </c>
      <c r="D15" s="72">
        <v>343.51</v>
      </c>
      <c r="E15" s="285">
        <f t="shared" ref="E15" si="2">C15*D15</f>
        <v>343510</v>
      </c>
      <c r="F15" s="285"/>
    </row>
    <row r="16" spans="1:8" s="36" customFormat="1" ht="11.25" x14ac:dyDescent="0.2">
      <c r="A16" s="49" t="str">
        <f>CONCATENATE(A14,"  ŁĄCZNIE")</f>
        <v>Torowisko wraz z podtorzem  ŁĄCZNIE</v>
      </c>
      <c r="B16" s="48"/>
      <c r="C16" s="48"/>
      <c r="D16" s="48"/>
      <c r="E16" s="272">
        <f>SUM(E14:F15)</f>
        <v>343510</v>
      </c>
      <c r="F16" s="272"/>
    </row>
    <row r="17" spans="1:13" s="36" customFormat="1" ht="11.25" x14ac:dyDescent="0.2">
      <c r="A17" s="38" t="s">
        <v>85</v>
      </c>
      <c r="B17" s="41"/>
      <c r="C17" s="41"/>
      <c r="D17" s="41"/>
      <c r="E17" s="277"/>
      <c r="F17" s="277"/>
    </row>
    <row r="18" spans="1:13" s="36" customFormat="1" ht="11.25" x14ac:dyDescent="0.2">
      <c r="A18" s="47" t="s">
        <v>9</v>
      </c>
      <c r="B18" s="74" t="s">
        <v>20</v>
      </c>
      <c r="C18" s="75">
        <v>4</v>
      </c>
      <c r="D18" s="72">
        <v>3000</v>
      </c>
      <c r="E18" s="285">
        <f t="shared" ref="E18" si="3">C18*D18</f>
        <v>12000</v>
      </c>
      <c r="F18" s="285"/>
    </row>
    <row r="19" spans="1:13" s="36" customFormat="1" ht="11.25" x14ac:dyDescent="0.2">
      <c r="A19" s="49" t="str">
        <f>CONCATENATE(A17,"  ŁĄCZNIE")</f>
        <v>Oznakowanie, sygnalizacje, sterowanie  ŁĄCZNIE</v>
      </c>
      <c r="B19" s="48"/>
      <c r="C19" s="48"/>
      <c r="D19" s="48"/>
      <c r="E19" s="272">
        <f>SUM(E18:F18)</f>
        <v>12000</v>
      </c>
      <c r="F19" s="272"/>
    </row>
    <row r="20" spans="1:13" s="36" customFormat="1" ht="11.25" x14ac:dyDescent="0.2">
      <c r="A20" s="38" t="s">
        <v>84</v>
      </c>
      <c r="B20" s="41"/>
      <c r="C20" s="41"/>
      <c r="D20" s="41"/>
      <c r="E20" s="277"/>
      <c r="F20" s="277"/>
    </row>
    <row r="21" spans="1:13" s="36" customFormat="1" ht="34.5" thickBot="1" x14ac:dyDescent="0.25">
      <c r="A21" s="47" t="s">
        <v>135</v>
      </c>
      <c r="B21" s="74" t="s">
        <v>16</v>
      </c>
      <c r="C21" s="75">
        <f>4*150</f>
        <v>600</v>
      </c>
      <c r="D21" s="72">
        <f>1564.81</f>
        <v>1564.81</v>
      </c>
      <c r="E21" s="271">
        <f t="shared" ref="E21" si="4">C21*D21</f>
        <v>938886</v>
      </c>
      <c r="F21" s="271"/>
    </row>
    <row r="22" spans="1:13" s="36" customFormat="1" ht="12" thickBot="1" x14ac:dyDescent="0.25">
      <c r="A22" s="47" t="s">
        <v>237</v>
      </c>
      <c r="B22" s="74" t="s">
        <v>16</v>
      </c>
      <c r="C22" s="75">
        <f>4*150</f>
        <v>600</v>
      </c>
      <c r="D22" s="72">
        <v>1489.99</v>
      </c>
      <c r="E22" s="271">
        <f t="shared" ref="E22:E24" si="5">C22*D22</f>
        <v>893994</v>
      </c>
      <c r="F22" s="271"/>
      <c r="G22" s="36" t="s">
        <v>76</v>
      </c>
      <c r="I22" s="78"/>
      <c r="L22" s="286"/>
      <c r="M22" s="287"/>
    </row>
    <row r="23" spans="1:13" s="36" customFormat="1" ht="11.25" x14ac:dyDescent="0.2">
      <c r="A23" s="47" t="s">
        <v>43</v>
      </c>
      <c r="B23" s="74" t="s">
        <v>44</v>
      </c>
      <c r="C23" s="75">
        <v>300</v>
      </c>
      <c r="D23" s="72">
        <v>150</v>
      </c>
      <c r="E23" s="271">
        <f t="shared" si="5"/>
        <v>45000</v>
      </c>
      <c r="F23" s="271"/>
    </row>
    <row r="24" spans="1:13" s="36" customFormat="1" ht="22.5" x14ac:dyDescent="0.2">
      <c r="A24" s="47" t="s">
        <v>77</v>
      </c>
      <c r="B24" s="74" t="s">
        <v>20</v>
      </c>
      <c r="C24" s="75">
        <v>2</v>
      </c>
      <c r="D24" s="72">
        <f>30000+2*5000+10*50+2*3500+2*1700+2*1200+2*2000+3*1200+2*1200+2500+2000</f>
        <v>67800</v>
      </c>
      <c r="E24" s="271">
        <f t="shared" si="5"/>
        <v>135600</v>
      </c>
      <c r="F24" s="271"/>
    </row>
    <row r="25" spans="1:13" s="36" customFormat="1" ht="11.25" x14ac:dyDescent="0.2">
      <c r="A25" s="49" t="str">
        <f>CONCATENATE(A20,"  ŁĄCZNIE")</f>
        <v>Peron  ŁĄCZNIE</v>
      </c>
      <c r="B25" s="48"/>
      <c r="C25" s="48"/>
      <c r="D25" s="48"/>
      <c r="E25" s="272">
        <f>SUM(E21:F24)</f>
        <v>2013480</v>
      </c>
      <c r="F25" s="272"/>
    </row>
    <row r="26" spans="1:13" s="36" customFormat="1" ht="23.25" thickBot="1" x14ac:dyDescent="0.25">
      <c r="A26" s="38" t="s">
        <v>82</v>
      </c>
      <c r="B26" s="41"/>
      <c r="C26" s="41"/>
      <c r="D26" s="41"/>
      <c r="E26" s="277"/>
      <c r="F26" s="277"/>
    </row>
    <row r="27" spans="1:13" s="36" customFormat="1" ht="12" thickBot="1" x14ac:dyDescent="0.25">
      <c r="A27" s="47" t="s">
        <v>80</v>
      </c>
      <c r="B27" s="74" t="s">
        <v>19</v>
      </c>
      <c r="C27" s="75">
        <f>C29*0.45</f>
        <v>90</v>
      </c>
      <c r="D27" s="72">
        <v>305.11866785714284</v>
      </c>
      <c r="E27" s="271">
        <f t="shared" ref="E27:E30" si="6">C27*D27</f>
        <v>27460.680107142856</v>
      </c>
      <c r="F27" s="271"/>
      <c r="G27" s="36" t="s">
        <v>76</v>
      </c>
      <c r="L27" s="286"/>
      <c r="M27" s="287"/>
    </row>
    <row r="28" spans="1:13" s="36" customFormat="1" ht="11.25" x14ac:dyDescent="0.2">
      <c r="A28" s="47" t="s">
        <v>86</v>
      </c>
      <c r="B28" s="74" t="s">
        <v>44</v>
      </c>
      <c r="C28" s="75">
        <f>10*2</f>
        <v>20</v>
      </c>
      <c r="D28" s="72">
        <v>490.14601941747571</v>
      </c>
      <c r="E28" s="271">
        <f t="shared" si="6"/>
        <v>9802.9203883495138</v>
      </c>
      <c r="F28" s="271"/>
      <c r="G28" s="36" t="s">
        <v>76</v>
      </c>
    </row>
    <row r="29" spans="1:13" s="36" customFormat="1" ht="22.5" x14ac:dyDescent="0.2">
      <c r="A29" s="47" t="s">
        <v>87</v>
      </c>
      <c r="B29" s="74" t="s">
        <v>54</v>
      </c>
      <c r="C29" s="75">
        <f>10*15+2*25</f>
        <v>200</v>
      </c>
      <c r="D29" s="72">
        <v>118.13291000000001</v>
      </c>
      <c r="E29" s="271">
        <f t="shared" si="6"/>
        <v>23626.582000000002</v>
      </c>
      <c r="F29" s="271"/>
      <c r="G29" s="36" t="s">
        <v>76</v>
      </c>
    </row>
    <row r="30" spans="1:13" s="36" customFormat="1" ht="11.25" x14ac:dyDescent="0.2">
      <c r="A30" s="47" t="s">
        <v>81</v>
      </c>
      <c r="B30" s="74" t="s">
        <v>44</v>
      </c>
      <c r="C30" s="75">
        <v>40</v>
      </c>
      <c r="D30" s="72">
        <v>200</v>
      </c>
      <c r="E30" s="271">
        <f t="shared" si="6"/>
        <v>8000</v>
      </c>
      <c r="F30" s="271"/>
      <c r="G30" s="36" t="s">
        <v>83</v>
      </c>
    </row>
    <row r="31" spans="1:13" s="36" customFormat="1" ht="24.95" customHeight="1" x14ac:dyDescent="0.2">
      <c r="A31" s="49" t="str">
        <f>CONCATENATE(A26,"  ŁĄCZNIE")</f>
        <v>Pochylnie, chodniki, drogi dojścia, wraz z zabudową dodatowych ogrodzeń,  labiryntów, barierek  ŁĄCZNIE</v>
      </c>
      <c r="B31" s="48"/>
      <c r="C31" s="48"/>
      <c r="D31" s="48"/>
      <c r="E31" s="272">
        <f>SUM(E27:F30)</f>
        <v>68890.182495492365</v>
      </c>
      <c r="F31" s="272"/>
    </row>
    <row r="32" spans="1:13" s="36" customFormat="1" ht="11.25" customHeight="1" x14ac:dyDescent="0.2">
      <c r="A32" s="38" t="s">
        <v>88</v>
      </c>
      <c r="B32" s="41"/>
      <c r="C32" s="41"/>
      <c r="D32" s="41"/>
      <c r="E32" s="277"/>
      <c r="F32" s="277"/>
    </row>
    <row r="33" spans="1:7" s="36" customFormat="1" ht="33.75" customHeight="1" x14ac:dyDescent="0.2">
      <c r="A33" s="47" t="s">
        <v>89</v>
      </c>
      <c r="B33" s="74" t="s">
        <v>20</v>
      </c>
      <c r="C33" s="75">
        <v>1</v>
      </c>
      <c r="D33" s="72">
        <v>70000</v>
      </c>
      <c r="E33" s="271">
        <f t="shared" ref="E33:E34" si="7">C33*D33</f>
        <v>70000</v>
      </c>
      <c r="F33" s="271"/>
      <c r="G33" s="58" t="s">
        <v>90</v>
      </c>
    </row>
    <row r="34" spans="1:7" s="36" customFormat="1" ht="33.75" customHeight="1" x14ac:dyDescent="0.2">
      <c r="A34" s="47" t="s">
        <v>132</v>
      </c>
      <c r="B34" s="74" t="s">
        <v>20</v>
      </c>
      <c r="C34" s="75">
        <v>1</v>
      </c>
      <c r="D34" s="72">
        <f>4*90000</f>
        <v>360000</v>
      </c>
      <c r="E34" s="271">
        <f t="shared" si="7"/>
        <v>360000</v>
      </c>
      <c r="F34" s="271"/>
      <c r="G34" s="58"/>
    </row>
    <row r="35" spans="1:7" s="36" customFormat="1" ht="11.25" customHeight="1" x14ac:dyDescent="0.2">
      <c r="A35" s="49" t="str">
        <f>CONCATENATE(A32,"  ŁĄCZNIE")</f>
        <v>Branża elektroenergetyczna  ŁĄCZNIE</v>
      </c>
      <c r="B35" s="48"/>
      <c r="C35" s="48"/>
      <c r="D35" s="48"/>
      <c r="E35" s="272">
        <f>SUM(E33:F34)</f>
        <v>430000</v>
      </c>
      <c r="F35" s="272"/>
    </row>
    <row r="36" spans="1:7" s="36" customFormat="1" ht="11.25" customHeight="1" x14ac:dyDescent="0.2">
      <c r="A36" s="38" t="s">
        <v>91</v>
      </c>
      <c r="B36" s="41"/>
      <c r="C36" s="41"/>
      <c r="D36" s="41"/>
      <c r="E36" s="277"/>
      <c r="F36" s="277"/>
    </row>
    <row r="37" spans="1:7" s="36" customFormat="1" ht="11.25" customHeight="1" x14ac:dyDescent="0.2">
      <c r="A37" s="47" t="s">
        <v>136</v>
      </c>
      <c r="B37" s="74" t="s">
        <v>20</v>
      </c>
      <c r="C37" s="75">
        <v>2</v>
      </c>
      <c r="D37" s="72">
        <v>50000</v>
      </c>
      <c r="E37" s="271">
        <f t="shared" ref="E37:E38" si="8">C37*D37</f>
        <v>100000</v>
      </c>
      <c r="F37" s="271"/>
      <c r="G37" s="58" t="s">
        <v>93</v>
      </c>
    </row>
    <row r="38" spans="1:7" s="36" customFormat="1" ht="11.25" customHeight="1" x14ac:dyDescent="0.2">
      <c r="A38" s="47" t="s">
        <v>94</v>
      </c>
      <c r="B38" s="74" t="s">
        <v>20</v>
      </c>
      <c r="C38" s="75">
        <v>2</v>
      </c>
      <c r="D38" s="72">
        <v>15000</v>
      </c>
      <c r="E38" s="271">
        <f t="shared" si="8"/>
        <v>30000</v>
      </c>
      <c r="F38" s="271"/>
      <c r="G38" s="58" t="s">
        <v>93</v>
      </c>
    </row>
    <row r="39" spans="1:7" s="36" customFormat="1" ht="11.25" customHeight="1" x14ac:dyDescent="0.2">
      <c r="A39" s="49" t="str">
        <f>CONCATENATE(A36,"  ŁĄCZNIE")</f>
        <v>Branża telekomunikacji i automatyki  ŁĄCZNIE</v>
      </c>
      <c r="B39" s="48"/>
      <c r="C39" s="48"/>
      <c r="D39" s="48"/>
      <c r="E39" s="272">
        <f>SUM(E37:F38)</f>
        <v>130000</v>
      </c>
      <c r="F39" s="272"/>
      <c r="G39" s="58"/>
    </row>
    <row r="40" spans="1:7" s="36" customFormat="1" ht="11.25" x14ac:dyDescent="0.2">
      <c r="A40" s="38" t="s">
        <v>42</v>
      </c>
      <c r="B40" s="41"/>
      <c r="C40" s="41"/>
      <c r="D40" s="41"/>
      <c r="E40" s="273"/>
      <c r="F40" s="273"/>
    </row>
    <row r="41" spans="1:7" s="36" customFormat="1" ht="205.5" customHeight="1" x14ac:dyDescent="0.2">
      <c r="A41" s="61" t="s">
        <v>99</v>
      </c>
      <c r="B41" s="62" t="s">
        <v>20</v>
      </c>
      <c r="C41" s="63">
        <v>1</v>
      </c>
      <c r="D41" s="64">
        <f>E52</f>
        <v>97000</v>
      </c>
      <c r="E41" s="278">
        <f t="shared" ref="E41" si="9">C41*D41</f>
        <v>97000</v>
      </c>
      <c r="F41" s="278"/>
    </row>
    <row r="42" spans="1:7" s="36" customFormat="1" ht="27" customHeight="1" x14ac:dyDescent="0.2">
      <c r="A42" s="279" t="s">
        <v>100</v>
      </c>
      <c r="B42" s="280"/>
      <c r="C42" s="280"/>
      <c r="D42" s="280"/>
      <c r="E42" s="280"/>
      <c r="F42" s="281"/>
    </row>
    <row r="43" spans="1:7" s="36" customFormat="1" ht="48.75" customHeight="1" x14ac:dyDescent="0.2">
      <c r="A43" s="282" t="s">
        <v>101</v>
      </c>
      <c r="B43" s="283"/>
      <c r="C43" s="283"/>
      <c r="D43" s="283"/>
      <c r="E43" s="283"/>
      <c r="F43" s="284"/>
    </row>
    <row r="44" spans="1:7" s="36" customFormat="1" ht="73.5" customHeight="1" x14ac:dyDescent="0.2">
      <c r="A44" s="274" t="s">
        <v>102</v>
      </c>
      <c r="B44" s="275"/>
      <c r="C44" s="275"/>
      <c r="D44" s="275"/>
      <c r="E44" s="275"/>
      <c r="F44" s="276"/>
    </row>
    <row r="45" spans="1:7" s="36" customFormat="1" ht="11.1" hidden="1" customHeight="1" x14ac:dyDescent="0.2">
      <c r="A45" s="65" t="s">
        <v>104</v>
      </c>
      <c r="B45" s="66" t="s">
        <v>103</v>
      </c>
      <c r="C45" s="67">
        <v>2.2000000000000002</v>
      </c>
      <c r="D45" s="68"/>
      <c r="E45" s="268"/>
      <c r="F45" s="269"/>
    </row>
    <row r="46" spans="1:7" s="36" customFormat="1" ht="11.1" hidden="1" customHeight="1" x14ac:dyDescent="0.2">
      <c r="A46" s="65" t="s">
        <v>108</v>
      </c>
      <c r="B46" s="66" t="s">
        <v>103</v>
      </c>
      <c r="C46" s="67">
        <v>1.1000000000000001</v>
      </c>
      <c r="D46" s="68"/>
      <c r="E46" s="270"/>
      <c r="F46" s="270"/>
    </row>
    <row r="47" spans="1:7" s="36" customFormat="1" ht="11.1" hidden="1" customHeight="1" x14ac:dyDescent="0.2">
      <c r="A47" s="65" t="s">
        <v>109</v>
      </c>
      <c r="B47" s="66" t="s">
        <v>103</v>
      </c>
      <c r="C47" s="67">
        <v>1.1499999999999999</v>
      </c>
      <c r="D47" s="68"/>
      <c r="E47" s="270"/>
      <c r="F47" s="270"/>
    </row>
    <row r="48" spans="1:7" s="36" customFormat="1" ht="29.25" hidden="1" customHeight="1" x14ac:dyDescent="0.2">
      <c r="A48" s="65" t="s">
        <v>110</v>
      </c>
      <c r="B48" s="66" t="s">
        <v>103</v>
      </c>
      <c r="C48" s="67">
        <v>1.1499999999999999</v>
      </c>
      <c r="D48" s="68"/>
      <c r="E48" s="270"/>
      <c r="F48" s="270"/>
    </row>
    <row r="49" spans="1:7" s="36" customFormat="1" ht="11.1" hidden="1" customHeight="1" x14ac:dyDescent="0.2">
      <c r="A49" s="65" t="s">
        <v>111</v>
      </c>
      <c r="B49" s="66" t="s">
        <v>103</v>
      </c>
      <c r="C49" s="67">
        <f>C45*(C46*C47*C48)</f>
        <v>3.2004499999999996</v>
      </c>
      <c r="D49" s="68"/>
      <c r="E49" s="270"/>
      <c r="F49" s="270"/>
    </row>
    <row r="50" spans="1:7" s="36" customFormat="1" ht="11.1" hidden="1" customHeight="1" x14ac:dyDescent="0.2">
      <c r="A50" s="65" t="s">
        <v>105</v>
      </c>
      <c r="B50" s="74" t="s">
        <v>107</v>
      </c>
      <c r="C50" s="67"/>
      <c r="D50" s="68"/>
      <c r="E50" s="270">
        <f>E57</f>
        <v>2999880.1824954925</v>
      </c>
      <c r="F50" s="270"/>
    </row>
    <row r="51" spans="1:7" s="36" customFormat="1" ht="11.1" hidden="1" customHeight="1" x14ac:dyDescent="0.2">
      <c r="A51" s="47" t="s">
        <v>106</v>
      </c>
      <c r="B51" s="74" t="s">
        <v>107</v>
      </c>
      <c r="C51" s="75"/>
      <c r="D51" s="72"/>
      <c r="E51" s="271">
        <f>E50*C49/100</f>
        <v>96009.665300676977</v>
      </c>
      <c r="F51" s="271"/>
    </row>
    <row r="52" spans="1:7" s="36" customFormat="1" ht="11.1" hidden="1" customHeight="1" x14ac:dyDescent="0.2">
      <c r="A52" s="47"/>
      <c r="B52" s="74"/>
      <c r="C52" s="75"/>
      <c r="D52" s="72"/>
      <c r="E52" s="271">
        <f>_xlfn.CEILING.MATH(E51,1000)</f>
        <v>97000</v>
      </c>
      <c r="F52" s="271"/>
    </row>
    <row r="53" spans="1:7" s="36" customFormat="1" ht="11.1" hidden="1" customHeight="1" x14ac:dyDescent="0.2">
      <c r="A53" s="47"/>
      <c r="B53" s="74"/>
      <c r="C53" s="75"/>
      <c r="D53" s="72"/>
      <c r="E53" s="271"/>
      <c r="F53" s="271"/>
    </row>
    <row r="54" spans="1:7" s="36" customFormat="1" ht="11.1" customHeight="1" x14ac:dyDescent="0.2">
      <c r="A54" s="49" t="str">
        <f>CONCATENATE(A40,"  ŁĄCZNIE")</f>
        <v>Dokumentacja projektowa  ŁĄCZNIE</v>
      </c>
      <c r="B54" s="48"/>
      <c r="C54" s="48"/>
      <c r="D54" s="48"/>
      <c r="E54" s="272">
        <f>E41</f>
        <v>97000</v>
      </c>
      <c r="F54" s="272"/>
    </row>
    <row r="55" spans="1:7" s="36" customFormat="1" ht="11.1" customHeight="1" x14ac:dyDescent="0.2">
      <c r="A55" s="38" t="s">
        <v>112</v>
      </c>
      <c r="B55" s="41"/>
      <c r="C55" s="41"/>
      <c r="D55" s="41"/>
      <c r="E55" s="273"/>
      <c r="F55" s="273"/>
    </row>
    <row r="56" spans="1:7" x14ac:dyDescent="0.25">
      <c r="A56" s="59" t="s">
        <v>96</v>
      </c>
      <c r="B56" s="59"/>
      <c r="C56" s="59"/>
      <c r="D56" s="59"/>
      <c r="E56" s="263">
        <f>E54</f>
        <v>97000</v>
      </c>
      <c r="F56" s="264"/>
    </row>
    <row r="57" spans="1:7" x14ac:dyDescent="0.25">
      <c r="A57" s="59" t="s">
        <v>97</v>
      </c>
      <c r="B57" s="59"/>
      <c r="C57" s="59"/>
      <c r="D57" s="59"/>
      <c r="E57" s="263">
        <f>E5+E13+E16+E19+E25+E31+E35+E39</f>
        <v>2999880.1824954925</v>
      </c>
      <c r="F57" s="264"/>
    </row>
    <row r="58" spans="1:7" x14ac:dyDescent="0.25">
      <c r="A58" s="265" t="s">
        <v>63</v>
      </c>
      <c r="B58" s="265"/>
      <c r="C58" s="265"/>
      <c r="D58" s="265"/>
      <c r="E58" s="266">
        <f>E56+E57</f>
        <v>3096880.1824954925</v>
      </c>
      <c r="F58" s="265"/>
    </row>
    <row r="59" spans="1:7" x14ac:dyDescent="0.25">
      <c r="A59" s="264" t="s">
        <v>64</v>
      </c>
      <c r="B59" s="264"/>
      <c r="C59" s="264"/>
      <c r="D59" s="264"/>
      <c r="E59" s="263">
        <f>SUM(E58*1.23)</f>
        <v>3809162.6244694558</v>
      </c>
      <c r="F59" s="263"/>
    </row>
    <row r="60" spans="1:7" x14ac:dyDescent="0.25">
      <c r="C60" s="267" t="s">
        <v>66</v>
      </c>
      <c r="D60" s="267"/>
      <c r="E60" s="267"/>
      <c r="F60" s="267"/>
    </row>
    <row r="61" spans="1:7" x14ac:dyDescent="0.25">
      <c r="A61" s="32" t="s">
        <v>49</v>
      </c>
      <c r="B61" s="33"/>
      <c r="C61" s="34"/>
      <c r="D61" s="34"/>
      <c r="E61" s="34"/>
      <c r="F61" s="34"/>
      <c r="G61" s="33"/>
    </row>
    <row r="62" spans="1:7" ht="15" customHeight="1" x14ac:dyDescent="0.25">
      <c r="A62" s="349" t="s">
        <v>50</v>
      </c>
      <c r="B62" s="349"/>
      <c r="C62" s="349"/>
      <c r="D62" s="349"/>
      <c r="E62" s="349"/>
      <c r="F62" s="349"/>
      <c r="G62" s="35"/>
    </row>
    <row r="63" spans="1:7" x14ac:dyDescent="0.25">
      <c r="A63" s="349"/>
      <c r="B63" s="349"/>
      <c r="C63" s="349"/>
      <c r="D63" s="349"/>
      <c r="E63" s="349"/>
      <c r="F63" s="349"/>
      <c r="G63" s="35"/>
    </row>
    <row r="64" spans="1:7" x14ac:dyDescent="0.25">
      <c r="A64" s="71"/>
      <c r="B64" s="71"/>
      <c r="C64" s="71"/>
      <c r="D64" s="71"/>
      <c r="E64" s="71"/>
      <c r="F64" s="71"/>
      <c r="G64" s="35"/>
    </row>
    <row r="65" spans="1:7" x14ac:dyDescent="0.25">
      <c r="A65" s="32" t="s">
        <v>51</v>
      </c>
      <c r="B65" s="33"/>
      <c r="C65" s="33"/>
      <c r="D65" s="33"/>
      <c r="E65" s="33"/>
      <c r="F65" s="33"/>
      <c r="G65" s="33"/>
    </row>
    <row r="66" spans="1:7" ht="15" customHeight="1" x14ac:dyDescent="0.25">
      <c r="A66" s="262" t="s">
        <v>98</v>
      </c>
      <c r="B66" s="262"/>
      <c r="C66" s="262"/>
      <c r="D66" s="262"/>
      <c r="E66" s="262"/>
      <c r="F66" s="262"/>
      <c r="G66" s="35"/>
    </row>
  </sheetData>
  <mergeCells count="70">
    <mergeCell ref="A62:F63"/>
    <mergeCell ref="A66:F66"/>
    <mergeCell ref="E21:F21"/>
    <mergeCell ref="E34:F34"/>
    <mergeCell ref="E57:F57"/>
    <mergeCell ref="A58:D58"/>
    <mergeCell ref="E58:F58"/>
    <mergeCell ref="A59:D59"/>
    <mergeCell ref="E59:F59"/>
    <mergeCell ref="C60:F60"/>
    <mergeCell ref="E51:F51"/>
    <mergeCell ref="E52:F52"/>
    <mergeCell ref="E53:F53"/>
    <mergeCell ref="E54:F54"/>
    <mergeCell ref="E55:F55"/>
    <mergeCell ref="E56:F56"/>
    <mergeCell ref="E50:F50"/>
    <mergeCell ref="E39:F39"/>
    <mergeCell ref="E40:F40"/>
    <mergeCell ref="E41:F41"/>
    <mergeCell ref="A42:F42"/>
    <mergeCell ref="A43:F43"/>
    <mergeCell ref="A44:F44"/>
    <mergeCell ref="E45:F45"/>
    <mergeCell ref="E46:F46"/>
    <mergeCell ref="E47:F47"/>
    <mergeCell ref="E48:F48"/>
    <mergeCell ref="E49:F49"/>
    <mergeCell ref="L22:M22"/>
    <mergeCell ref="E23:F23"/>
    <mergeCell ref="E24:F24"/>
    <mergeCell ref="E25:F25"/>
    <mergeCell ref="E38:F38"/>
    <mergeCell ref="E27:F27"/>
    <mergeCell ref="L27:M27"/>
    <mergeCell ref="E28:F28"/>
    <mergeCell ref="E29:F29"/>
    <mergeCell ref="E30:F30"/>
    <mergeCell ref="E31:F31"/>
    <mergeCell ref="E32:F32"/>
    <mergeCell ref="E33:F33"/>
    <mergeCell ref="E35:F35"/>
    <mergeCell ref="E36:F36"/>
    <mergeCell ref="E37:F37"/>
    <mergeCell ref="E26:F26"/>
    <mergeCell ref="E15:F15"/>
    <mergeCell ref="E16:F16"/>
    <mergeCell ref="E17:F17"/>
    <mergeCell ref="E18:F18"/>
    <mergeCell ref="E19:F19"/>
    <mergeCell ref="E20:F20"/>
    <mergeCell ref="E22:F22"/>
    <mergeCell ref="E14:F14"/>
    <mergeCell ref="A7:A8"/>
    <mergeCell ref="B7:B8"/>
    <mergeCell ref="C7:C8"/>
    <mergeCell ref="D7:D8"/>
    <mergeCell ref="E7:F8"/>
    <mergeCell ref="E9:F9"/>
    <mergeCell ref="E10:F10"/>
    <mergeCell ref="E11:F11"/>
    <mergeCell ref="E12:F12"/>
    <mergeCell ref="E13:F13"/>
    <mergeCell ref="G7:G8"/>
    <mergeCell ref="A1:F1"/>
    <mergeCell ref="E2:F2"/>
    <mergeCell ref="E3:F3"/>
    <mergeCell ref="E4:F4"/>
    <mergeCell ref="E5:F5"/>
    <mergeCell ref="E6:F6"/>
  </mergeCells>
  <pageMargins left="0.70866141732283472" right="0.70866141732283472" top="0.74803149606299213" bottom="0.74803149606299213" header="0.31496062992125984" footer="0.31496062992125984"/>
  <pageSetup paperSize="9" scale="94" fitToHeight="0" orientation="portrait" r:id="rId1"/>
  <rowBreaks count="1" manualBreakCount="1">
    <brk id="3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Zakresy nazwane</vt:lpstr>
      </vt:variant>
      <vt:variant>
        <vt:i4>10</vt:i4>
      </vt:variant>
    </vt:vector>
  </HeadingPairs>
  <TitlesOfParts>
    <vt:vector size="20" baseType="lpstr">
      <vt:lpstr>Rybnik Niedobczyce (RCO)</vt:lpstr>
      <vt:lpstr>Rybnik Niedobczyce (2,5mln)</vt:lpstr>
      <vt:lpstr>Rybnik Niewiadom (RCO)</vt:lpstr>
      <vt:lpstr>Rybnik Niewiadom</vt:lpstr>
      <vt:lpstr>Rybnik Paruszowiec</vt:lpstr>
      <vt:lpstr>Warszowice i PAWŁOWICE(RCO)</vt:lpstr>
      <vt:lpstr>Warszowice (RCO)</vt:lpstr>
      <vt:lpstr>Warszowice</vt:lpstr>
      <vt:lpstr>Pawłowice Studzionka</vt:lpstr>
      <vt:lpstr>Arkusz4</vt:lpstr>
      <vt:lpstr>'Pawłowice Studzionka'!Obszar_wydruku</vt:lpstr>
      <vt:lpstr>'Rybnik Niedobczyce (2,5mln)'!Obszar_wydruku</vt:lpstr>
      <vt:lpstr>'Rybnik Niedobczyce (RCO)'!Obszar_wydruku</vt:lpstr>
      <vt:lpstr>'Rybnik Niewiadom'!Obszar_wydruku</vt:lpstr>
      <vt:lpstr>'Rybnik Niewiadom (RCO)'!Obszar_wydruku</vt:lpstr>
      <vt:lpstr>'Rybnik Paruszowiec'!Obszar_wydruku</vt:lpstr>
      <vt:lpstr>Warszowice!Obszar_wydruku</vt:lpstr>
      <vt:lpstr>'Warszowice (RCO)'!Obszar_wydruku</vt:lpstr>
      <vt:lpstr>'Warszowice i PAWŁOWICE(RCO)'!Obszar_wydruku</vt:lpstr>
      <vt:lpstr>'Warszowice (RCO)'!Tytuły_wydruku</vt:lpstr>
    </vt:vector>
  </TitlesOfParts>
  <Company>PKP PLK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Grzeszczyk Emilian</dc:creator>
  <cp:lastModifiedBy>Niebelska-Dyba Joanna</cp:lastModifiedBy>
  <cp:lastPrinted>2023-09-25T11:30:18Z</cp:lastPrinted>
  <dcterms:created xsi:type="dcterms:W3CDTF">2021-04-20T09:50:27Z</dcterms:created>
  <dcterms:modified xsi:type="dcterms:W3CDTF">2023-09-25T11:30:23Z</dcterms:modified>
</cp:coreProperties>
</file>