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Z\ZakupyOD\Postępowania zakupowe\Postępowania zakupowe\2025\Sylwia\01. Magazyn\03. Regulamin postępowania\"/>
    </mc:Choice>
  </mc:AlternateContent>
  <bookViews>
    <workbookView xWindow="0" yWindow="0" windowWidth="25200" windowHeight="11250" tabRatio="677" firstSheet="3" activeTab="3"/>
  </bookViews>
  <sheets>
    <sheet name="Q_resume" sheetId="13" state="hidden" r:id="rId1"/>
    <sheet name="Assumptions" sheetId="11" state="hidden" r:id="rId2"/>
    <sheet name="setup" sheetId="12" state="hidden" r:id="rId3"/>
    <sheet name="Formularz cenowy" sheetId="16" r:id="rId4"/>
    <sheet name="Q_Finance" sheetId="6" state="hidden" r:id="rId5"/>
    <sheet name="Q_Services" sheetId="14" state="hidden" r:id="rId6"/>
    <sheet name="Q_Diamond" sheetId="15" state="hidden" r:id="rId7"/>
    <sheet name="Attachement 01" sheetId="8" state="hidden" r:id="rId8"/>
  </sheets>
  <externalReferences>
    <externalReference r:id="rId9"/>
  </externalReferences>
  <definedNames>
    <definedName name="ilosc_roboczych" localSheetId="1">#REF!</definedName>
    <definedName name="ilosc_roboczych" localSheetId="7">#REF!</definedName>
    <definedName name="ilosc_roboczych" localSheetId="6">#REF!</definedName>
    <definedName name="ilosc_roboczych" localSheetId="4">#REF!</definedName>
    <definedName name="ilosc_roboczych" localSheetId="5">#REF!</definedName>
    <definedName name="ilosc_roboczych">#REF!</definedName>
    <definedName name="_xlnm.Print_Area" localSheetId="7">'Attachement 01'!$A$1:$L$59</definedName>
    <definedName name="przepracowane" localSheetId="1">#REF!</definedName>
    <definedName name="przepracowane" localSheetId="7">#REF!</definedName>
    <definedName name="przepracowane" localSheetId="6">#REF!</definedName>
    <definedName name="przepracowane" localSheetId="4">#REF!</definedName>
    <definedName name="przepracowane" localSheetId="5">#REF!</definedName>
    <definedName name="przepracowane">#REF!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6" l="1"/>
  <c r="F8" i="16" l="1"/>
  <c r="H8" i="16" s="1"/>
  <c r="H24" i="16"/>
  <c r="F38" i="16"/>
  <c r="H38" i="16" s="1"/>
  <c r="F36" i="16"/>
  <c r="H36" i="16" s="1"/>
  <c r="F35" i="16"/>
  <c r="H35" i="16" s="1"/>
  <c r="F34" i="16"/>
  <c r="H34" i="16" s="1"/>
  <c r="F33" i="16"/>
  <c r="H33" i="16" s="1"/>
  <c r="F32" i="16"/>
  <c r="H32" i="16" s="1"/>
  <c r="F31" i="16"/>
  <c r="H31" i="16" s="1"/>
  <c r="F30" i="16"/>
  <c r="H30" i="16" s="1"/>
  <c r="F29" i="16"/>
  <c r="H29" i="16" s="1"/>
  <c r="F28" i="16"/>
  <c r="H28" i="16" s="1"/>
  <c r="F27" i="16"/>
  <c r="H27" i="16" s="1"/>
  <c r="F26" i="16"/>
  <c r="H26" i="16" s="1"/>
  <c r="F25" i="16"/>
  <c r="H25" i="16" s="1"/>
  <c r="F24" i="16"/>
  <c r="F23" i="16"/>
  <c r="H23" i="16" s="1"/>
  <c r="F22" i="16"/>
  <c r="H22" i="16" s="1"/>
  <c r="F20" i="16"/>
  <c r="H20" i="16" s="1"/>
  <c r="F16" i="16"/>
  <c r="H16" i="16" s="1"/>
  <c r="F17" i="16"/>
  <c r="H17" i="16" s="1"/>
  <c r="F18" i="16"/>
  <c r="H18" i="16" s="1"/>
  <c r="F15" i="16"/>
  <c r="H15" i="16" s="1"/>
  <c r="F11" i="16"/>
  <c r="H11" i="16" s="1"/>
  <c r="F12" i="16"/>
  <c r="H12" i="16" s="1"/>
  <c r="F13" i="16"/>
  <c r="H13" i="16" s="1"/>
  <c r="O30" i="15" l="1"/>
  <c r="R30" i="15" s="1"/>
  <c r="M12" i="6" l="1"/>
  <c r="M18" i="6" s="1"/>
  <c r="AB2" i="12" l="1"/>
  <c r="AC2" i="12" s="1"/>
  <c r="AB4" i="12"/>
  <c r="Q7" i="15"/>
  <c r="Q7" i="14"/>
  <c r="Q7" i="6"/>
  <c r="C3" i="13"/>
  <c r="M16" i="13"/>
  <c r="L67" i="13"/>
  <c r="L64" i="13"/>
  <c r="L63" i="13"/>
  <c r="L62" i="13"/>
  <c r="L61" i="13"/>
  <c r="D64" i="13"/>
  <c r="D63" i="13"/>
  <c r="D62" i="13"/>
  <c r="D61" i="13"/>
  <c r="R16" i="15"/>
  <c r="R14" i="15" s="1"/>
  <c r="R11" i="15"/>
  <c r="R9" i="15" s="1"/>
  <c r="R195" i="14"/>
  <c r="R194" i="14" s="1"/>
  <c r="R192" i="14"/>
  <c r="R191" i="14"/>
  <c r="R190" i="14"/>
  <c r="R132" i="14"/>
  <c r="R131" i="14"/>
  <c r="R130" i="14"/>
  <c r="R28" i="14"/>
  <c r="I39" i="13"/>
  <c r="I37" i="13"/>
  <c r="D40" i="13"/>
  <c r="D39" i="13"/>
  <c r="D38" i="13"/>
  <c r="D37" i="13"/>
  <c r="E26" i="13"/>
  <c r="E25" i="13"/>
  <c r="I26" i="13" l="1"/>
  <c r="I61" i="13"/>
  <c r="R188" i="14"/>
  <c r="M25" i="13"/>
  <c r="I25" i="13"/>
  <c r="M13" i="13"/>
  <c r="I14" i="13"/>
  <c r="I13" i="13"/>
  <c r="E14" i="13"/>
  <c r="E13" i="13"/>
  <c r="W50" i="12" l="1"/>
  <c r="AE49" i="12"/>
  <c r="AD49" i="12"/>
  <c r="AC49" i="12"/>
  <c r="AB49" i="12"/>
  <c r="AA49" i="12"/>
  <c r="Z49" i="12"/>
  <c r="Y49" i="12"/>
  <c r="X49" i="12"/>
  <c r="L21" i="11"/>
  <c r="O15" i="11"/>
  <c r="X26" i="12" s="1"/>
  <c r="Y24" i="12"/>
  <c r="X27" i="12" l="1"/>
  <c r="Y27" i="12" s="1"/>
  <c r="X24" i="12"/>
  <c r="Z24" i="12" s="1"/>
  <c r="Z27" i="12" l="1"/>
  <c r="O59" i="14"/>
  <c r="R59" i="14" s="1"/>
  <c r="X20" i="12"/>
  <c r="Y20" i="12" s="1"/>
  <c r="X19" i="12"/>
  <c r="X18" i="12"/>
  <c r="Y18" i="12" s="1"/>
  <c r="X17" i="12"/>
  <c r="Y17" i="12" s="1"/>
  <c r="M26" i="13" s="1"/>
  <c r="X16" i="12"/>
  <c r="Y16" i="12" s="1"/>
  <c r="X14" i="12"/>
  <c r="X13" i="12"/>
  <c r="X12" i="12"/>
  <c r="X9" i="12"/>
  <c r="X8" i="12"/>
  <c r="X7" i="12"/>
  <c r="X6" i="12"/>
  <c r="X5" i="12"/>
  <c r="X4" i="12"/>
  <c r="O19" i="11"/>
  <c r="M19" i="11"/>
  <c r="D22" i="12"/>
  <c r="D21" i="12"/>
  <c r="C21" i="12" s="1"/>
  <c r="D20" i="12"/>
  <c r="C20" i="12" s="1"/>
  <c r="D19" i="12"/>
  <c r="D18" i="12"/>
  <c r="C18" i="12" s="1"/>
  <c r="D17" i="12"/>
  <c r="C2" i="12"/>
  <c r="C19" i="12" l="1"/>
  <c r="M80" i="11"/>
  <c r="M15" i="13"/>
  <c r="M27" i="13"/>
  <c r="C17" i="12"/>
  <c r="I62" i="13" l="1"/>
  <c r="M49" i="13"/>
  <c r="I38" i="13"/>
  <c r="I49" i="13"/>
  <c r="M37" i="13"/>
  <c r="E49" i="13"/>
  <c r="H34" i="15"/>
  <c r="F34" i="15"/>
  <c r="O28" i="15"/>
  <c r="R28" i="15" s="1"/>
  <c r="O27" i="15"/>
  <c r="R27" i="15" s="1"/>
  <c r="O26" i="15"/>
  <c r="R26" i="15" s="1"/>
  <c r="R23" i="15"/>
  <c r="R22" i="15"/>
  <c r="P204" i="14"/>
  <c r="M204" i="14"/>
  <c r="C204" i="14"/>
  <c r="O185" i="14"/>
  <c r="R185" i="14" s="1"/>
  <c r="O184" i="14"/>
  <c r="R184" i="14" s="1"/>
  <c r="O183" i="14"/>
  <c r="R183" i="14" s="1"/>
  <c r="O181" i="14"/>
  <c r="R181" i="14" s="1"/>
  <c r="O180" i="14"/>
  <c r="R180" i="14" s="1"/>
  <c r="O179" i="14"/>
  <c r="R179" i="14" s="1"/>
  <c r="O177" i="14"/>
  <c r="R177" i="14" s="1"/>
  <c r="O176" i="14"/>
  <c r="R176" i="14" s="1"/>
  <c r="O175" i="14"/>
  <c r="R175" i="14" s="1"/>
  <c r="O174" i="14"/>
  <c r="R174" i="14" s="1"/>
  <c r="O173" i="14"/>
  <c r="R173" i="14" s="1"/>
  <c r="O172" i="14"/>
  <c r="R172" i="14" s="1"/>
  <c r="O171" i="14"/>
  <c r="R171" i="14" s="1"/>
  <c r="M163" i="14"/>
  <c r="O163" i="14" s="1"/>
  <c r="R163" i="14" s="1"/>
  <c r="M162" i="14"/>
  <c r="O162" i="14" s="1"/>
  <c r="R162" i="14" s="1"/>
  <c r="O160" i="14"/>
  <c r="R160" i="14" s="1"/>
  <c r="O159" i="14"/>
  <c r="R159" i="14" s="1"/>
  <c r="O156" i="14"/>
  <c r="R156" i="14" s="1"/>
  <c r="O153" i="14"/>
  <c r="R153" i="14" s="1"/>
  <c r="O152" i="14"/>
  <c r="R152" i="14" s="1"/>
  <c r="O148" i="14"/>
  <c r="R148" i="14" s="1"/>
  <c r="O147" i="14"/>
  <c r="R147" i="14" s="1"/>
  <c r="O146" i="14"/>
  <c r="R146" i="14" s="1"/>
  <c r="M139" i="14"/>
  <c r="O139" i="14" s="1"/>
  <c r="R139" i="14" s="1"/>
  <c r="M138" i="14"/>
  <c r="O138" i="14" s="1"/>
  <c r="R138" i="14" s="1"/>
  <c r="M137" i="14"/>
  <c r="O137" i="14" s="1"/>
  <c r="R137" i="14" s="1"/>
  <c r="M129" i="14"/>
  <c r="O129" i="14" s="1"/>
  <c r="R129" i="14" s="1"/>
  <c r="M128" i="14"/>
  <c r="O128" i="14" s="1"/>
  <c r="R128" i="14" s="1"/>
  <c r="M127" i="14"/>
  <c r="O127" i="14" s="1"/>
  <c r="R127" i="14" s="1"/>
  <c r="M126" i="14"/>
  <c r="O126" i="14" s="1"/>
  <c r="R126" i="14" s="1"/>
  <c r="M122" i="14"/>
  <c r="O122" i="14" s="1"/>
  <c r="R122" i="14" s="1"/>
  <c r="M121" i="14"/>
  <c r="O121" i="14" s="1"/>
  <c r="R121" i="14" s="1"/>
  <c r="M120" i="14"/>
  <c r="O120" i="14" s="1"/>
  <c r="R120" i="14" s="1"/>
  <c r="O119" i="14"/>
  <c r="R119" i="14" s="1"/>
  <c r="O118" i="14"/>
  <c r="R118" i="14" s="1"/>
  <c r="O117" i="14"/>
  <c r="R117" i="14" s="1"/>
  <c r="O116" i="14"/>
  <c r="R116" i="14" s="1"/>
  <c r="O111" i="14"/>
  <c r="R111" i="14" s="1"/>
  <c r="O108" i="14"/>
  <c r="R108" i="14" s="1"/>
  <c r="O107" i="14"/>
  <c r="R107" i="14" s="1"/>
  <c r="O103" i="14"/>
  <c r="R103" i="14" s="1"/>
  <c r="O102" i="14"/>
  <c r="R102" i="14" s="1"/>
  <c r="O101" i="14"/>
  <c r="R101" i="14" s="1"/>
  <c r="M83" i="14"/>
  <c r="O83" i="14" s="1"/>
  <c r="R83" i="14" s="1"/>
  <c r="M82" i="14"/>
  <c r="O82" i="14" s="1"/>
  <c r="R82" i="14" s="1"/>
  <c r="O86" i="14"/>
  <c r="R86" i="14" s="1"/>
  <c r="O85" i="14"/>
  <c r="R85" i="14" s="1"/>
  <c r="O81" i="14"/>
  <c r="R81" i="14" s="1"/>
  <c r="O80" i="14"/>
  <c r="R80" i="14" s="1"/>
  <c r="O79" i="14"/>
  <c r="R79" i="14" s="1"/>
  <c r="O76" i="14"/>
  <c r="R76" i="14" s="1"/>
  <c r="O73" i="14"/>
  <c r="R73" i="14" s="1"/>
  <c r="O72" i="14"/>
  <c r="R72" i="14" s="1"/>
  <c r="O68" i="14"/>
  <c r="R68" i="14" s="1"/>
  <c r="O67" i="14"/>
  <c r="R67" i="14" s="1"/>
  <c r="O66" i="14"/>
  <c r="R66" i="14" s="1"/>
  <c r="M57" i="14"/>
  <c r="O57" i="14" s="1"/>
  <c r="R57" i="14" s="1"/>
  <c r="O56" i="14"/>
  <c r="R56" i="14" s="1"/>
  <c r="O52" i="14"/>
  <c r="R52" i="14" s="1"/>
  <c r="O51" i="14"/>
  <c r="R51" i="14" s="1"/>
  <c r="O50" i="14"/>
  <c r="R50" i="14" s="1"/>
  <c r="O49" i="14"/>
  <c r="R49" i="14" s="1"/>
  <c r="O45" i="14"/>
  <c r="R45" i="14" s="1"/>
  <c r="O42" i="14"/>
  <c r="R42" i="14" s="1"/>
  <c r="O41" i="14"/>
  <c r="R41" i="14" s="1"/>
  <c r="O37" i="14"/>
  <c r="R37" i="14" s="1"/>
  <c r="O36" i="14"/>
  <c r="R36" i="14" s="1"/>
  <c r="O35" i="14"/>
  <c r="R35" i="14" s="1"/>
  <c r="O27" i="14"/>
  <c r="R27" i="14" s="1"/>
  <c r="O25" i="14"/>
  <c r="R25" i="14" s="1"/>
  <c r="O22" i="14"/>
  <c r="R22" i="14" s="1"/>
  <c r="O21" i="14"/>
  <c r="R21" i="14" s="1"/>
  <c r="O17" i="14"/>
  <c r="R17" i="14" s="1"/>
  <c r="O16" i="14"/>
  <c r="R16" i="14" s="1"/>
  <c r="O15" i="14"/>
  <c r="R15" i="14" s="1"/>
  <c r="R31" i="14" l="1"/>
  <c r="R11" i="14"/>
  <c r="R97" i="14"/>
  <c r="R142" i="14"/>
  <c r="R170" i="14"/>
  <c r="R169" i="14" s="1"/>
  <c r="M93" i="14"/>
  <c r="M94" i="14" s="1"/>
  <c r="M92" i="14" s="1"/>
  <c r="O92" i="14" s="1"/>
  <c r="R92" i="14" s="1"/>
  <c r="M84" i="14"/>
  <c r="O84" i="14" s="1"/>
  <c r="R84" i="14" s="1"/>
  <c r="R62" i="14" s="1"/>
  <c r="O94" i="14" l="1"/>
  <c r="R94" i="14" s="1"/>
  <c r="R10" i="14"/>
  <c r="M45" i="13"/>
  <c r="O93" i="14"/>
  <c r="R93" i="14" s="1"/>
  <c r="G67" i="13"/>
  <c r="C67" i="13"/>
  <c r="R90" i="14" l="1"/>
  <c r="I45" i="13"/>
  <c r="H49" i="13" s="1"/>
  <c r="I47" i="13" s="1"/>
  <c r="R89" i="14"/>
  <c r="E45" i="13"/>
  <c r="L52" i="13"/>
  <c r="L51" i="13"/>
  <c r="L50" i="13"/>
  <c r="L49" i="13"/>
  <c r="M47" i="13" s="1"/>
  <c r="T13" i="12"/>
  <c r="T12" i="12"/>
  <c r="T11" i="12"/>
  <c r="T10" i="12"/>
  <c r="R19" i="15" s="1"/>
  <c r="I57" i="13" s="1"/>
  <c r="T8" i="12"/>
  <c r="T7" i="12"/>
  <c r="T6" i="12"/>
  <c r="T5" i="12"/>
  <c r="T4" i="12"/>
  <c r="K30" i="11"/>
  <c r="G30" i="11"/>
  <c r="G45" i="11" s="1"/>
  <c r="C30" i="11"/>
  <c r="C45" i="11" s="1"/>
  <c r="H62" i="13" l="1"/>
  <c r="I59" i="13" s="1"/>
  <c r="H61" i="13"/>
  <c r="O55" i="13"/>
  <c r="H64" i="13"/>
  <c r="H51" i="13"/>
  <c r="H52" i="13"/>
  <c r="H50" i="13"/>
  <c r="D51" i="13"/>
  <c r="D50" i="13"/>
  <c r="O43" i="13"/>
  <c r="D49" i="13"/>
  <c r="E47" i="13" s="1"/>
  <c r="D52" i="13"/>
  <c r="M15" i="11"/>
  <c r="W29" i="12" s="1"/>
  <c r="O13" i="11"/>
  <c r="M13" i="11"/>
  <c r="D14" i="11"/>
  <c r="C13" i="11"/>
  <c r="D12" i="11" s="1"/>
  <c r="I31" i="12"/>
  <c r="K32" i="12" s="1"/>
  <c r="I29" i="12"/>
  <c r="K31" i="12" s="1"/>
  <c r="I27" i="12"/>
  <c r="K30" i="12" s="1"/>
  <c r="I25" i="12"/>
  <c r="K29" i="12" s="1"/>
  <c r="H23" i="12"/>
  <c r="K28" i="12" s="1"/>
  <c r="H37" i="12"/>
  <c r="K37" i="12" s="1"/>
  <c r="H36" i="12"/>
  <c r="K36" i="12" s="1"/>
  <c r="H35" i="12"/>
  <c r="K35" i="12" s="1"/>
  <c r="H34" i="12"/>
  <c r="K34" i="12" s="1"/>
  <c r="H33" i="12"/>
  <c r="K33" i="12" s="1"/>
  <c r="H32" i="12"/>
  <c r="K27" i="12" s="1"/>
  <c r="H30" i="12"/>
  <c r="K26" i="12" s="1"/>
  <c r="H28" i="12"/>
  <c r="K25" i="12" s="1"/>
  <c r="H26" i="12"/>
  <c r="K24" i="12" s="1"/>
  <c r="H24" i="12"/>
  <c r="K23" i="12" s="1"/>
  <c r="H22" i="12"/>
  <c r="K22" i="12" s="1"/>
  <c r="H21" i="12"/>
  <c r="K21" i="12" s="1"/>
  <c r="H20" i="12"/>
  <c r="K20" i="12" s="1"/>
  <c r="H19" i="12"/>
  <c r="K19" i="12" s="1"/>
  <c r="H18" i="12"/>
  <c r="K18" i="12" s="1"/>
  <c r="G13" i="12"/>
  <c r="P4" i="12"/>
  <c r="L5" i="12" s="1"/>
  <c r="L8" i="12" s="1"/>
  <c r="M14" i="13" l="1"/>
  <c r="W38" i="12"/>
  <c r="W34" i="12"/>
  <c r="W35" i="12"/>
  <c r="W45" i="12"/>
  <c r="W40" i="12"/>
  <c r="W43" i="12"/>
  <c r="W39" i="12"/>
  <c r="W46" i="12"/>
  <c r="W36" i="12"/>
  <c r="W47" i="12"/>
  <c r="W32" i="12"/>
  <c r="W31" i="12"/>
  <c r="W37" i="12"/>
  <c r="W42" i="12"/>
  <c r="W48" i="12"/>
  <c r="W44" i="12"/>
  <c r="W33" i="12"/>
  <c r="W41" i="12"/>
  <c r="H15" i="12"/>
  <c r="I15" i="12"/>
  <c r="G15" i="12"/>
  <c r="E13" i="11"/>
  <c r="I5" i="12"/>
  <c r="I8" i="12" s="1"/>
  <c r="M5" i="12"/>
  <c r="M8" i="12" s="1"/>
  <c r="F5" i="12"/>
  <c r="J5" i="12"/>
  <c r="J8" i="12" s="1"/>
  <c r="N5" i="12"/>
  <c r="N8" i="12" s="1"/>
  <c r="G5" i="12"/>
  <c r="G8" i="12" s="1"/>
  <c r="K5" i="12"/>
  <c r="K8" i="12" s="1"/>
  <c r="O5" i="12"/>
  <c r="O8" i="12" s="1"/>
  <c r="H5" i="12"/>
  <c r="H8" i="12" s="1"/>
  <c r="D4" i="12"/>
  <c r="B4" i="12" s="1"/>
  <c r="C5" i="12"/>
  <c r="D5" i="12" s="1"/>
  <c r="B5" i="12" s="1"/>
  <c r="C6" i="12" l="1"/>
  <c r="C7" i="12" s="1"/>
  <c r="C8" i="12" s="1"/>
  <c r="C9" i="12" s="1"/>
  <c r="C10" i="12" s="1"/>
  <c r="C11" i="12" s="1"/>
  <c r="C12" i="12" s="1"/>
  <c r="C13" i="12" s="1"/>
  <c r="C14" i="12" s="1"/>
  <c r="D14" i="12" s="1"/>
  <c r="B14" i="12" s="1"/>
  <c r="W49" i="12"/>
  <c r="D10" i="12"/>
  <c r="B10" i="12" s="1"/>
  <c r="D12" i="12"/>
  <c r="B12" i="12" s="1"/>
  <c r="P5" i="12"/>
  <c r="P6" i="12" s="1"/>
  <c r="F8" i="12" s="1"/>
  <c r="D8" i="12" l="1"/>
  <c r="B8" i="12" s="1"/>
  <c r="D6" i="12"/>
  <c r="B6" i="12" s="1"/>
  <c r="D11" i="12"/>
  <c r="B11" i="12" s="1"/>
  <c r="D9" i="12"/>
  <c r="B9" i="12" s="1"/>
  <c r="D7" i="12"/>
  <c r="B7" i="12" s="1"/>
  <c r="D13" i="12"/>
  <c r="B13" i="12" s="1"/>
  <c r="P8" i="12"/>
  <c r="C15" i="12" l="1"/>
  <c r="F58" i="8"/>
  <c r="C58" i="8"/>
  <c r="D15" i="12" l="1"/>
  <c r="B15" i="12" s="1"/>
  <c r="D17" i="6"/>
  <c r="F17" i="6"/>
  <c r="F11" i="6"/>
  <c r="D11" i="6"/>
  <c r="F10" i="6"/>
  <c r="D10" i="6"/>
  <c r="O19" i="6" l="1"/>
  <c r="R19" i="6" s="1"/>
  <c r="O18" i="6" l="1"/>
  <c r="R18" i="6" s="1"/>
  <c r="R17" i="6" l="1"/>
  <c r="O12" i="6"/>
  <c r="R12" i="6" s="1"/>
  <c r="R11" i="6" s="1"/>
  <c r="P28" i="6"/>
  <c r="M28" i="6"/>
  <c r="C28" i="6"/>
  <c r="M33" i="13" l="1"/>
  <c r="L39" i="13" s="1"/>
  <c r="I33" i="13"/>
  <c r="R10" i="6"/>
  <c r="L40" i="13" l="1"/>
  <c r="L38" i="13"/>
  <c r="L37" i="13"/>
  <c r="M35" i="13" s="1"/>
  <c r="O31" i="13"/>
  <c r="H40" i="13"/>
  <c r="H38" i="13"/>
  <c r="I35" i="13" s="1"/>
  <c r="H39" i="13"/>
  <c r="H37" i="13"/>
  <c r="M21" i="13" l="1"/>
  <c r="I21" i="13"/>
  <c r="E21" i="13"/>
  <c r="O19" i="13" l="1"/>
  <c r="H26" i="13"/>
  <c r="H25" i="13"/>
  <c r="I23" i="13" s="1"/>
  <c r="H27" i="13"/>
  <c r="H28" i="13"/>
  <c r="D28" i="13"/>
  <c r="D27" i="13"/>
  <c r="D26" i="13"/>
  <c r="D25" i="13"/>
  <c r="E23" i="13" s="1"/>
  <c r="L28" i="13"/>
  <c r="L27" i="13"/>
  <c r="L25" i="13"/>
  <c r="L26" i="13"/>
  <c r="M23" i="13" s="1"/>
  <c r="M9" i="13"/>
  <c r="L16" i="13" l="1"/>
  <c r="L14" i="13"/>
  <c r="M11" i="13" s="1"/>
  <c r="L13" i="13"/>
  <c r="L15" i="13"/>
  <c r="I9" i="13" l="1"/>
  <c r="H15" i="13" l="1"/>
  <c r="H16" i="13"/>
  <c r="H14" i="13"/>
  <c r="H13" i="13"/>
  <c r="I11" i="13" s="1"/>
  <c r="E9" i="13" l="1"/>
  <c r="D14" i="13" s="1"/>
  <c r="E11" i="13" s="1"/>
  <c r="O7" i="13" l="1"/>
  <c r="I63" i="13" s="1"/>
  <c r="H63" i="13" s="1"/>
  <c r="D15" i="13"/>
  <c r="D16" i="13"/>
  <c r="D13" i="13"/>
</calcChain>
</file>

<file path=xl/sharedStrings.xml><?xml version="1.0" encoding="utf-8"?>
<sst xmlns="http://schemas.openxmlformats.org/spreadsheetml/2006/main" count="1020" uniqueCount="608">
  <si>
    <t>monthly budget</t>
  </si>
  <si>
    <t>price list per unit</t>
  </si>
  <si>
    <t>proces</t>
  </si>
  <si>
    <t>usługa</t>
  </si>
  <si>
    <t>id</t>
  </si>
  <si>
    <t>jednostka</t>
  </si>
  <si>
    <t>cena jednostkowa</t>
  </si>
  <si>
    <t>standardowa</t>
  </si>
  <si>
    <t>rabat</t>
  </si>
  <si>
    <t>oferta</t>
  </si>
  <si>
    <t>ilość</t>
  </si>
  <si>
    <t>wartość</t>
  </si>
  <si>
    <t>miesięczny budżet</t>
  </si>
  <si>
    <t>sztuka</t>
  </si>
  <si>
    <t>zamówienie</t>
  </si>
  <si>
    <t>miesiąc</t>
  </si>
  <si>
    <t>artykuł</t>
  </si>
  <si>
    <t>implementacja</t>
  </si>
  <si>
    <t>telefon</t>
  </si>
  <si>
    <t>zlecenie</t>
  </si>
  <si>
    <t>raport</t>
  </si>
  <si>
    <t>Koszt implemetacji -WEBCOM</t>
  </si>
  <si>
    <t>Koszt implemetacji - e-CAT</t>
  </si>
  <si>
    <t>Dodatkowe zamówienie e-CAT</t>
  </si>
  <si>
    <t>Autoryzacja zamówień e-CAT</t>
  </si>
  <si>
    <t>Grupy użytkowników e-CAT</t>
  </si>
  <si>
    <t>Wersja podstawowa e-CAT Mobile (dla 300 zamówień)</t>
  </si>
  <si>
    <t>LOGISTICS</t>
  </si>
  <si>
    <t>REPLENISHMENT SERVICES</t>
  </si>
  <si>
    <t>INVENTORY MANAGEMENT</t>
  </si>
  <si>
    <t>unit</t>
  </si>
  <si>
    <t>Level 4 - reception of cartons and pallet building</t>
  </si>
  <si>
    <t>carton AA1:320/220/100/mm</t>
  </si>
  <si>
    <t>carton AA2:320/220/150/mm</t>
  </si>
  <si>
    <t>carton AA3:320/220/200/mm</t>
  </si>
  <si>
    <t>carton AA4:320/220/260/mm</t>
  </si>
  <si>
    <t>carton BB1:440/320/100/mm</t>
  </si>
  <si>
    <t>carton BB2:440/320/150/mm</t>
  </si>
  <si>
    <t>carton BB3:440/320/200/mm</t>
  </si>
  <si>
    <t>carton BB4:440/320/260/mm</t>
  </si>
  <si>
    <t>carton BB5 (for RUCH only)</t>
  </si>
  <si>
    <t>carton CC1:500/400/150/mm</t>
  </si>
  <si>
    <t>carton CC2:500/400/260/mm</t>
  </si>
  <si>
    <t>carton DD1:600/500/200/mm</t>
  </si>
  <si>
    <t>carton DD2:600/500/400/mm</t>
  </si>
  <si>
    <t>carton EE1:760/220/120/mm</t>
  </si>
  <si>
    <t>carton EE2:760/220/250/mm</t>
  </si>
  <si>
    <t>carton SS1:320/150/1060/mm</t>
  </si>
  <si>
    <t>carton SS2:800/250/1000/mm</t>
  </si>
  <si>
    <t>carton S3:630/150/1300/mm</t>
  </si>
  <si>
    <t>Order from call center</t>
  </si>
  <si>
    <t>Invoice -  creation</t>
  </si>
  <si>
    <t>Invoice lines -  creation</t>
  </si>
  <si>
    <t>Printing of invoice</t>
  </si>
  <si>
    <t>Administration of invoicing process</t>
  </si>
  <si>
    <t>Monitoring of payments</t>
  </si>
  <si>
    <t>Basic reports</t>
  </si>
  <si>
    <t>Advanced reports</t>
  </si>
  <si>
    <t>Cost spliting</t>
  </si>
  <si>
    <t>per article</t>
  </si>
  <si>
    <t>per month</t>
  </si>
  <si>
    <t>per implementation</t>
  </si>
  <si>
    <t>per report</t>
  </si>
  <si>
    <t>per user</t>
  </si>
  <si>
    <t>per order</t>
  </si>
  <si>
    <t>per call</t>
  </si>
  <si>
    <t>per piece</t>
  </si>
  <si>
    <t>process</t>
  </si>
  <si>
    <t>service</t>
  </si>
  <si>
    <t>STORAGE ON PALLETS</t>
  </si>
  <si>
    <t>STORAGE ON SHELFS</t>
  </si>
  <si>
    <t>per transport</t>
  </si>
  <si>
    <t>import</t>
  </si>
  <si>
    <t>SALES ORDER ADMINISTRATION</t>
  </si>
  <si>
    <t>PZ</t>
  </si>
  <si>
    <t>Stock alerts checking</t>
  </si>
  <si>
    <t>Value of stock analysis</t>
  </si>
  <si>
    <t>Order from e-mail, fax</t>
  </si>
  <si>
    <t>e-CAT - wersja podstawowa (do 300 zamówień)</t>
  </si>
  <si>
    <t>Koszt implemetacji e-CAT Mobile</t>
  </si>
  <si>
    <t>km</t>
  </si>
  <si>
    <t>per record</t>
  </si>
  <si>
    <t>rekord</t>
  </si>
  <si>
    <t>FINANCE</t>
  </si>
  <si>
    <t>PURCHASE ON BEHALF OF CLIENT</t>
  </si>
  <si>
    <t>STOCK FINANCING</t>
  </si>
  <si>
    <t>SALE ON BEHALF OF CLIENT</t>
  </si>
  <si>
    <t>FLD-FZA-ZAO-ZDO-SUP-FIN-01</t>
  </si>
  <si>
    <t>FLD-FZA-ZAM-ZDO-SUP-FIN-01</t>
  </si>
  <si>
    <t>stock value per day</t>
  </si>
  <si>
    <t>wartość zapasów per dzień</t>
  </si>
  <si>
    <t>**Receivables - Payables Amount</t>
  </si>
  <si>
    <t>Finansowanie zapasów</t>
  </si>
  <si>
    <t>Stock financing</t>
  </si>
  <si>
    <t>FLD-FZA-ZAM-ZDO-SUP-FIN-02</t>
  </si>
  <si>
    <t>of sales invoice amount</t>
  </si>
  <si>
    <t>Finansowanie należności zmienne</t>
  </si>
  <si>
    <t>Finansowanie należności stałe</t>
  </si>
  <si>
    <t>Receivables financing - variable</t>
  </si>
  <si>
    <t>Receivables financing -fixed</t>
  </si>
  <si>
    <t>ilość*</t>
  </si>
  <si>
    <t>*** jeżeli &gt; 0</t>
  </si>
  <si>
    <t>** including WIBOR 1M - state on 27th of March 2014</t>
  </si>
  <si>
    <t>*** if positive</t>
  </si>
  <si>
    <t>* all prices are gross (including VAT)</t>
  </si>
  <si>
    <t>* wszystkie kwoty są kwotami brutto (zawierają VAT)</t>
  </si>
  <si>
    <t>Level 5 - non-standard reception - mixed pallets</t>
  </si>
  <si>
    <t>Level 1 - visual control of incoming goods</t>
  </si>
  <si>
    <t>Level 3 - full inspection - forms an accountable</t>
  </si>
  <si>
    <t>WRITTEN: DK</t>
  </si>
  <si>
    <t>Zakup ocechowanej bazy danych</t>
  </si>
  <si>
    <t>Zakup standardowej bazy danych</t>
  </si>
  <si>
    <t>Buying of specified data base</t>
  </si>
  <si>
    <t>Buying of standard data base</t>
  </si>
  <si>
    <t>per e-mail address</t>
  </si>
  <si>
    <t>adres mailowy</t>
  </si>
  <si>
    <t>Przygotowanie projektu graficznego dla mailingu</t>
  </si>
  <si>
    <t>per template</t>
  </si>
  <si>
    <t>szablon</t>
  </si>
  <si>
    <t>Wysyłka e-mailingowa w ramach akcji (do 30tyś adresów)</t>
  </si>
  <si>
    <t>Sending out of e-mails (up to 30k emails)</t>
  </si>
  <si>
    <t>akcja</t>
  </si>
  <si>
    <t>Sending out of e-mails (up to 10k emails)</t>
  </si>
  <si>
    <t>per action/campaing</t>
  </si>
  <si>
    <t>Identyfikacja - osoby odpowiedzialnej za zakup</t>
  </si>
  <si>
    <t>Utworzenie nowego rekordu w CRM</t>
  </si>
  <si>
    <t>Creation of new record in CRM data-base</t>
  </si>
  <si>
    <t>Identyfication and verification of contact</t>
  </si>
  <si>
    <t>przedstawiciel handlowy</t>
  </si>
  <si>
    <t>sales reps</t>
  </si>
  <si>
    <t>Zarządzanie pracownikiem</t>
  </si>
  <si>
    <t>Phone call to the Point of Sales</t>
  </si>
  <si>
    <t>per visit</t>
  </si>
  <si>
    <t>punkt</t>
  </si>
  <si>
    <t>Supervision of Sales REP</t>
  </si>
  <si>
    <t>Visit in the Point of Sales - aqusition</t>
  </si>
  <si>
    <t>Visit in the Point of Sales - develoment</t>
  </si>
  <si>
    <t>Sending out of e-mails (up to 20k emails)</t>
  </si>
  <si>
    <t>Przygotowanie  zaawansowanego projektu graficznego dla mailingu</t>
  </si>
  <si>
    <t>Design work on the advanced email template</t>
  </si>
  <si>
    <t>Design work on the standard email template</t>
  </si>
  <si>
    <t>Wizyta w punkcie sprzedaży połączona z prezentacją oferty</t>
  </si>
  <si>
    <t>Wizyta w nowym punkcie sprzedaży połączona z prezentacją oferty</t>
  </si>
  <si>
    <t>OPZ-ZPZ-ZAM-ZAS-OTR-OTR-02</t>
  </si>
  <si>
    <t>On Field Order Tracking</t>
  </si>
  <si>
    <t>Tracking serwisów terenowych</t>
  </si>
  <si>
    <t>DOTARCIE DO PUNKTU WYKONANIA USŁUGI</t>
  </si>
  <si>
    <t>TRYB NORMAL 5 DNI ROBOCZYCH</t>
  </si>
  <si>
    <t>W obrębie miasta bazowego*</t>
  </si>
  <si>
    <t>*lista miast bazowych dostępna w załączniku: 01_QUOT_2014 v 1.0</t>
  </si>
  <si>
    <t>ZAŁĄCZNIK 01_QUOT_2014 v 1.0</t>
  </si>
  <si>
    <t>THE ATTACHEMENT No 01_QUOT_2014 v 1.0</t>
  </si>
  <si>
    <t>B-CITY-01</t>
  </si>
  <si>
    <t>B-CITY-02</t>
  </si>
  <si>
    <t>B-CITY-03</t>
  </si>
  <si>
    <t>B-CITY-04</t>
  </si>
  <si>
    <t>B-CITY-05</t>
  </si>
  <si>
    <t>B-CITY-06</t>
  </si>
  <si>
    <t>B-CITY-07</t>
  </si>
  <si>
    <t>B-CITY-08</t>
  </si>
  <si>
    <t>B-CITY-09</t>
  </si>
  <si>
    <t>B-CITY-10</t>
  </si>
  <si>
    <t>B-CITY-11</t>
  </si>
  <si>
    <t>B-CITY-12</t>
  </si>
  <si>
    <t>B-CITY-13</t>
  </si>
  <si>
    <t>B-CITY-14</t>
  </si>
  <si>
    <t>B-CITY-15</t>
  </si>
  <si>
    <t>B-CITY-16</t>
  </si>
  <si>
    <t>B-CITY-17</t>
  </si>
  <si>
    <t>B-CITY-18</t>
  </si>
  <si>
    <t>B-CITY-19</t>
  </si>
  <si>
    <t>B-CITY-20</t>
  </si>
  <si>
    <t>B-CITY-21</t>
  </si>
  <si>
    <t>B-CITY-22</t>
  </si>
  <si>
    <t>B-CITY-23</t>
  </si>
  <si>
    <t>B-CITY-24</t>
  </si>
  <si>
    <t>B-CITY-25</t>
  </si>
  <si>
    <t>Będzin</t>
  </si>
  <si>
    <t>Białystok</t>
  </si>
  <si>
    <t>Bydgoszcz</t>
  </si>
  <si>
    <t>Chorzów</t>
  </si>
  <si>
    <t>Częstochowa</t>
  </si>
  <si>
    <t>Gdańsk</t>
  </si>
  <si>
    <t>Kalisz</t>
  </si>
  <si>
    <t>Katowice</t>
  </si>
  <si>
    <t>Kraków</t>
  </si>
  <si>
    <t>Legnica</t>
  </si>
  <si>
    <t>Lublin</t>
  </si>
  <si>
    <t>Łódź</t>
  </si>
  <si>
    <t>Olsztyn</t>
  </si>
  <si>
    <t>Poznań</t>
  </si>
  <si>
    <t>Ruda Śl</t>
  </si>
  <si>
    <t>Rzeszów</t>
  </si>
  <si>
    <t>Słupsk</t>
  </si>
  <si>
    <t>Szczecin</t>
  </si>
  <si>
    <t>Tychy</t>
  </si>
  <si>
    <t>Warszawa</t>
  </si>
  <si>
    <t>Wrocław</t>
  </si>
  <si>
    <t>Zielona Góra</t>
  </si>
  <si>
    <t>DODATKOWE INFORMACJE DOTYCZĄCE USŁUG W TERENIE</t>
  </si>
  <si>
    <t>DETAILED INFORMATION ACCORDING ON FIELD SERVICES</t>
  </si>
  <si>
    <t>MIASTA BAZOWE</t>
  </si>
  <si>
    <t>REGIONAL CITY</t>
  </si>
  <si>
    <t>W promieniu 50 km od miasta bazowego</t>
  </si>
  <si>
    <t>dojazd</t>
  </si>
  <si>
    <t>per km</t>
  </si>
  <si>
    <t>W odległości powyżej 50 km od miasta bazowego</t>
  </si>
  <si>
    <t>TRYB URGENT 48H</t>
  </si>
  <si>
    <t>TRYB FLASH 24H</t>
  </si>
  <si>
    <t>PROSTE CZYNNOŚCI SERWISOWE I MONTAŻOWE**</t>
  </si>
  <si>
    <t>**</t>
  </si>
  <si>
    <t>** specyfikacja usług w ramach prezentowanej oferty w załączniku: 01_QUOT_2014 v 1.0</t>
  </si>
  <si>
    <t>SERWIS SPECJALISTYCZNY (TECHNICZNY)**</t>
  </si>
  <si>
    <t>Usługa w punkcie - do 20 minut</t>
  </si>
  <si>
    <t>Usługa w punkcie - do 45 minut</t>
  </si>
  <si>
    <t>stand</t>
  </si>
  <si>
    <t>SPECYFIKACJA USŁUG W RAMACH PROJEKTU</t>
  </si>
  <si>
    <t>dodatkowy opis</t>
  </si>
  <si>
    <t>additional comments</t>
  </si>
  <si>
    <t>SERWIS SPECJALISTYCZNY (TECHNICZNY) obejmuje:</t>
  </si>
  <si>
    <t>PROSTE CZYNNOŚCI SERWISOWE I MONTAŻOWE obejmują:</t>
  </si>
  <si>
    <t>*</t>
  </si>
  <si>
    <t>** uwzględnia WIBOR 1M na dzień 2014-09-30..</t>
  </si>
  <si>
    <t>Repair standard (without cost of spare parts)</t>
  </si>
  <si>
    <t>man-hour</t>
  </si>
  <si>
    <t>Repair advanced (without cost od spare parts)</t>
  </si>
  <si>
    <t>Renovation standard</t>
  </si>
  <si>
    <t>Renovation advanced</t>
  </si>
  <si>
    <t>Cleaning</t>
  </si>
  <si>
    <t>Repacking</t>
  </si>
  <si>
    <t>Product adaptation</t>
  </si>
  <si>
    <t>per service unit</t>
  </si>
  <si>
    <t>Promotion monitoring</t>
  </si>
  <si>
    <t xml:space="preserve"> </t>
  </si>
  <si>
    <t xml:space="preserve">    </t>
  </si>
  <si>
    <t>TECHNICAL SUPPORT</t>
  </si>
  <si>
    <t>REPAIRS AND SERVICES</t>
  </si>
  <si>
    <t>MARKETING FILED SERVICES</t>
  </si>
  <si>
    <t>MERCHANDISING</t>
  </si>
  <si>
    <t>REBRANDING AND INSTALLATIONS</t>
  </si>
  <si>
    <t>AUDITS AND REPORTS</t>
  </si>
  <si>
    <t>SALES SUPPORT SERVICES</t>
  </si>
  <si>
    <t>DISTRIBUTION SERVICES</t>
  </si>
  <si>
    <t>SALES DEVELOPMENT SERVICES</t>
  </si>
  <si>
    <t>TCO OPTIMALIZATION</t>
  </si>
  <si>
    <t>W obrębie aglomeracji miasta bazowego*</t>
  </si>
  <si>
    <t>Wykonanie dokumentacji fotograficznej</t>
  </si>
  <si>
    <t>Raport Specjalistyczny</t>
  </si>
  <si>
    <t>Zarządzanie zespołem w terenie</t>
  </si>
  <si>
    <t>Usługa w magazynie centralnym - do 20 minut</t>
  </si>
  <si>
    <t>Usługa w magazynie centralnym - do 45 minut</t>
  </si>
  <si>
    <t>Raport Standardowy</t>
  </si>
  <si>
    <t>Inspekcja</t>
  </si>
  <si>
    <t>Wycena opłacalności naprawy</t>
  </si>
  <si>
    <t>Szczegółowa wycena naprawy</t>
  </si>
  <si>
    <t>Utylizacja</t>
  </si>
  <si>
    <t>VALUE RECOVERY / RETURNS MANAGMENT</t>
  </si>
  <si>
    <t xml:space="preserve">QUALITY CONTROL </t>
  </si>
  <si>
    <t>FLASH MODE:</t>
  </si>
  <si>
    <t>NORMAL MODE:</t>
  </si>
  <si>
    <t>Kontrola jakości po serwisie w terenie</t>
  </si>
  <si>
    <t>Kontrola jakości po naprawie w terenie</t>
  </si>
  <si>
    <t>Kontrola jakości po serwisie w magazynie centralnym</t>
  </si>
  <si>
    <t>Kontrola jakości po naprawie w magazynie centralnnym</t>
  </si>
  <si>
    <t>Tajemniczy klient</t>
  </si>
  <si>
    <t>Optymalizacja TCO</t>
  </si>
  <si>
    <t>% of savings</t>
  </si>
  <si>
    <t>TCO optimalization</t>
  </si>
  <si>
    <t>Closed program distribution services</t>
  </si>
  <si>
    <t>Multipartner platform</t>
  </si>
  <si>
    <t>White Label Distribution Services</t>
  </si>
  <si>
    <t>quatation</t>
  </si>
  <si>
    <t>DIAMOND PE</t>
  </si>
  <si>
    <t>Zarządzanie Zaopatrzeniem (powered by NextBuy)</t>
  </si>
  <si>
    <t>Trade Marketing Expert (powered by Externis)</t>
  </si>
  <si>
    <t>DIAMOND OM/B2B</t>
  </si>
  <si>
    <t>WEBCOM</t>
  </si>
  <si>
    <t>DIAMOND TMX</t>
  </si>
  <si>
    <t>NORMAL MODE 5 WORKING DAYS</t>
  </si>
  <si>
    <t>Within the town agglomeration base *</t>
  </si>
  <si>
    <t>Within 50 km from the base town</t>
  </si>
  <si>
    <t>Within more than 50 km from the base town</t>
  </si>
  <si>
    <t>URGENT MODE 48 WORKING HOURS</t>
  </si>
  <si>
    <t>URGENT MODE 24 WORKING HOURS</t>
  </si>
  <si>
    <t>Within the town base *</t>
  </si>
  <si>
    <t>Managment of field service team</t>
  </si>
  <si>
    <t>REACHING THE POINT OF EXECUTION OF SERVICES</t>
  </si>
  <si>
    <t>SIMPLE SERVICE AND ASSEMBLY **</t>
  </si>
  <si>
    <t>Service at a point - up to 20 minutes</t>
  </si>
  <si>
    <t>Service at a point - up to 45 minutes</t>
  </si>
  <si>
    <t>Service at central warehouse - up to 20 minutes</t>
  </si>
  <si>
    <t>Service at central warehouse - up to 45 minutes</t>
  </si>
  <si>
    <t>SPECIAL SERVICE (TECHNICAL) **</t>
  </si>
  <si>
    <t>Monitoring promocji</t>
  </si>
  <si>
    <t>Photographic documentation</t>
  </si>
  <si>
    <t>Inventory of big materials (stands, cabinets)</t>
  </si>
  <si>
    <t>Inventory of small materials</t>
  </si>
  <si>
    <t>Special report</t>
  </si>
  <si>
    <t>Misterious client</t>
  </si>
  <si>
    <t>Inspection</t>
  </si>
  <si>
    <t>Quotation of repair profitability</t>
  </si>
  <si>
    <t>Detailed quotation of repair</t>
  </si>
  <si>
    <t>Utilization</t>
  </si>
  <si>
    <t>TRYB NORMAL</t>
  </si>
  <si>
    <t>Naprawa standardowa (bez kosztów części zamiennych)</t>
  </si>
  <si>
    <t>Naprawa zaawansowana (bez kosztów części zamiennych)</t>
  </si>
  <si>
    <t>Odnowa standardowa</t>
  </si>
  <si>
    <t>Odnowa zaawansowana</t>
  </si>
  <si>
    <t>Czyszczenie</t>
  </si>
  <si>
    <t>Przepakowanie</t>
  </si>
  <si>
    <t>Adaptacja produktu</t>
  </si>
  <si>
    <t>TRYB FLASH</t>
  </si>
  <si>
    <t>Quality inspection at field / after service</t>
  </si>
  <si>
    <t>Quality inspection at field / after repair</t>
  </si>
  <si>
    <t>Quality inspection at central warehouse / after service</t>
  </si>
  <si>
    <t>Quality inspection at central warehouse / after repair</t>
  </si>
  <si>
    <t>% oszczędności</t>
  </si>
  <si>
    <t>per service</t>
  </si>
  <si>
    <t>per stand</t>
  </si>
  <si>
    <t>INBOUD</t>
  </si>
  <si>
    <t>PLATFORM</t>
  </si>
  <si>
    <t>SKU</t>
  </si>
  <si>
    <t>INSPECTION LEVEL</t>
  </si>
  <si>
    <t>PHISICAL RECEPTION</t>
  </si>
  <si>
    <t>Level 1 &amp; Level 3 partly (15%)</t>
  </si>
  <si>
    <t>ADMINISTRATION OF REC</t>
  </si>
  <si>
    <t>LOCALIZATIONS</t>
  </si>
  <si>
    <t>OUTBOUD</t>
  </si>
  <si>
    <t>LOW - HIGH SHELFS &amp; PALLETS</t>
  </si>
  <si>
    <t>SHELF</t>
  </si>
  <si>
    <t>L</t>
  </si>
  <si>
    <t>S</t>
  </si>
  <si>
    <t>M</t>
  </si>
  <si>
    <t>size</t>
  </si>
  <si>
    <t>Level 2 - sampling control (one box from each pll)</t>
  </si>
  <si>
    <t>ORDERS</t>
  </si>
  <si>
    <t>PALLETS or PARCELS</t>
  </si>
  <si>
    <t>LINES</t>
  </si>
  <si>
    <t>PCS</t>
  </si>
  <si>
    <t>PRACEL ORDERS</t>
  </si>
  <si>
    <t>PALLET ORDERS</t>
  </si>
  <si>
    <t>WEIGHT [kg]</t>
  </si>
  <si>
    <t>SALES [pln]</t>
  </si>
  <si>
    <t>General Comment:</t>
  </si>
  <si>
    <t>MAIN ASSUMPTIONS: SUPPLY CHAIN MANAGEMENT</t>
  </si>
  <si>
    <t>Documents</t>
  </si>
  <si>
    <t>Lines</t>
  </si>
  <si>
    <t>MAIN ASSUMPTIONS: CONTRACT MANAGEMENT &amp; DATA FLOW MAN.</t>
  </si>
  <si>
    <t>Suppliers - import</t>
  </si>
  <si>
    <t>Suppliers - manual creation</t>
  </si>
  <si>
    <t>suppliers</t>
  </si>
  <si>
    <t>WEBCOM - impl.</t>
  </si>
  <si>
    <t>1 main accounts &amp;</t>
  </si>
  <si>
    <t>subaccounts</t>
  </si>
  <si>
    <t>e-cat</t>
  </si>
  <si>
    <t>e-cat - impl.</t>
  </si>
  <si>
    <t>e-cat mobile</t>
  </si>
  <si>
    <t>e-cat mobile impl.</t>
  </si>
  <si>
    <t>docs</t>
  </si>
  <si>
    <t>total</t>
  </si>
  <si>
    <t>PR</t>
  </si>
  <si>
    <t>PO</t>
  </si>
  <si>
    <t>PO proc</t>
  </si>
  <si>
    <t>Inv.check</t>
  </si>
  <si>
    <t>Pay</t>
  </si>
  <si>
    <t>Rotation analysis</t>
  </si>
  <si>
    <t>Client list</t>
  </si>
  <si>
    <t>Clients/users - manual</t>
  </si>
  <si>
    <t>creation</t>
  </si>
  <si>
    <t>Articles - import</t>
  </si>
  <si>
    <t>Products</t>
  </si>
  <si>
    <t>Import of orders</t>
  </si>
  <si>
    <t>INVOICE / LINES OF INVOICE</t>
  </si>
  <si>
    <t>/</t>
  </si>
  <si>
    <t>MAIN ASSUMPTIONS: SUPPLY CHAIN FINANCING</t>
  </si>
  <si>
    <t>Stock Value</t>
  </si>
  <si>
    <t>pln</t>
  </si>
  <si>
    <t>Value of sales</t>
  </si>
  <si>
    <t xml:space="preserve">Average term of payement </t>
  </si>
  <si>
    <r>
      <t xml:space="preserve">days </t>
    </r>
    <r>
      <rPr>
        <b/>
        <i/>
        <sz val="9"/>
        <rFont val="Calibri"/>
        <family val="2"/>
        <charset val="238"/>
        <scheme val="minor"/>
      </rPr>
      <t>(to supplier)</t>
    </r>
  </si>
  <si>
    <r>
      <t xml:space="preserve">days </t>
    </r>
    <r>
      <rPr>
        <b/>
        <i/>
        <sz val="9"/>
        <rFont val="Calibri"/>
        <family val="2"/>
        <charset val="238"/>
        <scheme val="minor"/>
      </rPr>
      <t>(for client)</t>
    </r>
  </si>
  <si>
    <t>MAIN ASSUMPTIONS:  WAREHOUSE OPERATIONS &amp; STORAGE</t>
  </si>
  <si>
    <t>price per sku</t>
  </si>
  <si>
    <t>price per pallet</t>
  </si>
  <si>
    <t>price per order</t>
  </si>
  <si>
    <t>Inbound Logistics Services</t>
  </si>
  <si>
    <t>Storage Optimization Services</t>
  </si>
  <si>
    <t>Outbound Logistics Services</t>
  </si>
  <si>
    <t>SUPPLY</t>
  </si>
  <si>
    <t>Procurment Executions Ser.</t>
  </si>
  <si>
    <t>Inventory Managent Serv.</t>
  </si>
  <si>
    <t>Sales Administration Serv.</t>
  </si>
  <si>
    <t>price per document</t>
  </si>
  <si>
    <t>price per article</t>
  </si>
  <si>
    <t>price per month</t>
  </si>
  <si>
    <t>price per invoice</t>
  </si>
  <si>
    <t>****</t>
  </si>
  <si>
    <t>***</t>
  </si>
  <si>
    <t>% of sales</t>
  </si>
  <si>
    <t>SERVICES</t>
  </si>
  <si>
    <t>Wykonanie prostych czynność wg. instruckji klienta</t>
  </si>
  <si>
    <t>Simple service base on instruction</t>
  </si>
  <si>
    <t>roboczo-godzina</t>
  </si>
  <si>
    <t>wizyta</t>
  </si>
  <si>
    <t>Monitoring cen w punkcie sprzedaży</t>
  </si>
  <si>
    <t>Price monitoring in point of sale</t>
  </si>
  <si>
    <t>per promotion</t>
  </si>
  <si>
    <t>promocja</t>
  </si>
  <si>
    <t>wycena</t>
  </si>
  <si>
    <t>Serwis techniczny gwarancyjny do 60 min</t>
  </si>
  <si>
    <t>Warranty technical service up to 60 minutes</t>
  </si>
  <si>
    <t>serwis</t>
  </si>
  <si>
    <t>Serwis techniczny pogwarancyjny do 60 min</t>
  </si>
  <si>
    <t>Postwarranty technical service up to 60 minutes</t>
  </si>
  <si>
    <t>Wizyta techniczna (bez kosztów podróży) do 60 min</t>
  </si>
  <si>
    <t>Cost of technician visit (without cost of transport) up to 60 minutes</t>
  </si>
  <si>
    <t>Dedykowany program dystrybucji</t>
  </si>
  <si>
    <t>Platforma multi kliencka</t>
  </si>
  <si>
    <t>Supply chain managment (powered by NextBuy)</t>
  </si>
  <si>
    <t>DIAMOND</t>
  </si>
  <si>
    <t>Payable Financing Services</t>
  </si>
  <si>
    <t>Inventory Financing Services</t>
  </si>
  <si>
    <t>Receivables Financing Serices</t>
  </si>
  <si>
    <t>REBRANDING I INSTALACJE</t>
  </si>
  <si>
    <t>AUDYTY I RAPORTOWANIE</t>
  </si>
  <si>
    <t>SERWISY TERENOWE</t>
  </si>
  <si>
    <t>ZARZĄDZANIE WARTOŚCIĄ ODTWORZENIOWĄ</t>
  </si>
  <si>
    <t>WSPARCIE TECHNICZNE</t>
  </si>
  <si>
    <t>NAPRAWY I SERWISY</t>
  </si>
  <si>
    <t>KONTROLA JAKOŚCI SERWISÓW</t>
  </si>
  <si>
    <t>WSPARCIE SPRZEDAŻY</t>
  </si>
  <si>
    <t>BEZPOŚREDNIE WSPARCIE SPRZEDAŻY</t>
  </si>
  <si>
    <t>PROGRAMY DYSTRYBUCYJNE</t>
  </si>
  <si>
    <t>OPTYMALIZACJA TCO</t>
  </si>
  <si>
    <t>System do składania zamówień/B2B (powered by STACI)</t>
  </si>
  <si>
    <t>IT SOLUTIONS</t>
  </si>
  <si>
    <t>MAIN ASSUMPTIONS: IT SOLUTIONS</t>
  </si>
  <si>
    <t>items</t>
  </si>
  <si>
    <t>60 % of pallets &amp; 40% of cartons</t>
  </si>
  <si>
    <t>% of logistic budget</t>
  </si>
  <si>
    <t>pracel transport</t>
  </si>
  <si>
    <t>pallet transport</t>
  </si>
  <si>
    <t>1par</t>
  </si>
  <si>
    <t>2par</t>
  </si>
  <si>
    <t>do300</t>
  </si>
  <si>
    <t>do 600</t>
  </si>
  <si>
    <t>usage of new cartons</t>
  </si>
  <si>
    <t>nowe kartony</t>
  </si>
  <si>
    <t>śr.waga</t>
  </si>
  <si>
    <t>x</t>
  </si>
  <si>
    <t>% of stock value</t>
  </si>
  <si>
    <t>SALES DEVELOPMENT SERV.</t>
  </si>
  <si>
    <t>price per parcel</t>
  </si>
  <si>
    <t>roczny budżet</t>
  </si>
  <si>
    <t>avr. price per article</t>
  </si>
  <si>
    <t>SER-MAR-ZAP-MER-STD-000-01</t>
  </si>
  <si>
    <t>SER-MAR-ZAP-MER-STD-000-02</t>
  </si>
  <si>
    <t>SER-MAR-ZAP-MER-STD-000-03</t>
  </si>
  <si>
    <t>SER-MAR-ZAP-MER-URG-48H-01</t>
  </si>
  <si>
    <t>SER-MAR-ZAP-MER-URG-48H-02</t>
  </si>
  <si>
    <t>SER-MAR-ZAP-MER-URG-24H-01</t>
  </si>
  <si>
    <t>SER-MAR-ZAP-MER-ADM-ADD-01</t>
  </si>
  <si>
    <t>SER-MAR-ZAP-MER-ADM-ADD-02</t>
  </si>
  <si>
    <t>SER-MAR-ZAO-REB-STD-000-01</t>
  </si>
  <si>
    <t>SER-MAR-ZAO-REB-STD-000-02</t>
  </si>
  <si>
    <t>SER-MAR-ZAO-REB-STD-000-03</t>
  </si>
  <si>
    <t>SER-MAR-ZAO-REB-URG-48H-01</t>
  </si>
  <si>
    <t>SER-MAR-ZAO-REB-URG-48H-02</t>
  </si>
  <si>
    <t>SER-MAR-ZAO-REB-URG-24H-01</t>
  </si>
  <si>
    <t>SER-MAR-ZAO-REB-SER-BAS-01</t>
  </si>
  <si>
    <t>SER-MAR-ZAO-REB-SER-BAS-02</t>
  </si>
  <si>
    <t>SER-MAR-ZAO-REB-SER-BAS-03</t>
  </si>
  <si>
    <t>SER-MAR-ZAO-REB-SER-BAS-04</t>
  </si>
  <si>
    <t>SER-MAR-ZAO-REB-SER-SPE-01</t>
  </si>
  <si>
    <t>SER-MAR-ZAO-REB-SER-SPE-02</t>
  </si>
  <si>
    <t>SER-MAR-ZAM-AUD-STD-000-01</t>
  </si>
  <si>
    <t>SER-MAR-ZAM-AUD-STD-000-02</t>
  </si>
  <si>
    <t>SER-MAR-ZAM-AUD-STD-000-03</t>
  </si>
  <si>
    <t>SER-MAR-ZAM-AUD-URG-48H-01</t>
  </si>
  <si>
    <t>SER-MAR-ZAM-AUD-URG-48H-02</t>
  </si>
  <si>
    <t>SER-MAR-ZAM-AUD-URG-24H-01</t>
  </si>
  <si>
    <t>SER-MAR-ZAM-AUD-ADD-PHO-01</t>
  </si>
  <si>
    <t>SER-MAR-ZAM-AUD-ADD-INV-01</t>
  </si>
  <si>
    <t>SER-MAR-ZAM-AUD-ADD-INV-02</t>
  </si>
  <si>
    <t>SER-MAR-ZAM-AUD-ADD-REP-01</t>
  </si>
  <si>
    <t>SER-MAR-ZAM-AUD-ADD-REP-02</t>
  </si>
  <si>
    <t>SER-MAR-ZAM-AUD-ADD-REP-03</t>
  </si>
  <si>
    <t>SER-MAR-ZAM-AUD-ADD-REP-04</t>
  </si>
  <si>
    <t>SER-MAR-ZAM-AUD-ADD-REP-05</t>
  </si>
  <si>
    <t>SER-TSU-ZAP-VAL-INS-000-01</t>
  </si>
  <si>
    <t>SER-TSU-ZAP-VAL-INS-000-02</t>
  </si>
  <si>
    <t>SER-TSU-ZAP-VAL-INS-000-03</t>
  </si>
  <si>
    <t>SER-TSU-ZAP-VAL-INS-000-04</t>
  </si>
  <si>
    <t>SER-TSU-ZAO-REP-STD-000-01</t>
  </si>
  <si>
    <t>SER-TSU-ZAO-REP-STD-000-02</t>
  </si>
  <si>
    <t>SER-TSU-ZAO-REP-STD-000-03</t>
  </si>
  <si>
    <t>SER-TSU-ZAO-REP-URG-48H-01</t>
  </si>
  <si>
    <t>SER-TSU-ZAO-REP-URG-48H-02</t>
  </si>
  <si>
    <t>SER-TSU-ZAO-REP-URG-24H-01</t>
  </si>
  <si>
    <t>SER-TSU-ZAO-REP-STD-BAS-01</t>
  </si>
  <si>
    <t>SER-TSU-ZAO-REP-STD-BAS-02</t>
  </si>
  <si>
    <t>SER-TSU-ZAO-REP-STD-ADV-01</t>
  </si>
  <si>
    <t>SER-TSU-ZAO-REP-STD-ADV-02</t>
  </si>
  <si>
    <t>SER-TSU-ZAO-REP-REN-BAS-01</t>
  </si>
  <si>
    <t>SER-TSU-ZAO-REP-REN-ADV-01</t>
  </si>
  <si>
    <t>SER-TSU-ZAO-REP-CLE-BAS-01</t>
  </si>
  <si>
    <t>SER-TSU-ZAO-REP-RPC-BAS-01</t>
  </si>
  <si>
    <t>SER-TSU-ZAO-REP-PAD-BAS-01</t>
  </si>
  <si>
    <t>SER-TSU-ZAO-REP-REN-BAS-02</t>
  </si>
  <si>
    <t>SER-TSU-ZAO-REP-REN-ADV-02</t>
  </si>
  <si>
    <t>SER-TSU-ZAO-REP-CLE-BAS-02</t>
  </si>
  <si>
    <t>SER-TSU-ZAO-REP-RPC-BAS-02</t>
  </si>
  <si>
    <t>SER-TSU-ZAO-REP-PAD-BAS-02</t>
  </si>
  <si>
    <t>SER-TSU-ZAM-QUC-STD-000-01</t>
  </si>
  <si>
    <t>SER-TSU-ZAM-QUC-STD-000-02</t>
  </si>
  <si>
    <t>SER-TSU-ZAM-QUC-STD-000-03</t>
  </si>
  <si>
    <t>SER-TSU-ZAM-QUC-URG-48H-01</t>
  </si>
  <si>
    <t>SER-TSU-ZAM-QUC-URG-48H-02</t>
  </si>
  <si>
    <t>SER-TSU-ZAM-QUC-URG-24H-01</t>
  </si>
  <si>
    <t>SER-TSU-ZAM-QUC-AFT-000-01</t>
  </si>
  <si>
    <t>SER-TSU-ZAM-QUC-AFT-000-02</t>
  </si>
  <si>
    <t>SER-TSU-ZAM-QUC-AFT-000-03</t>
  </si>
  <si>
    <t>SER-TSU-ZAM-QUC-AFT-000-04</t>
  </si>
  <si>
    <t>SER-SDS-ZAP-SSS-DBS-000-01</t>
  </si>
  <si>
    <t>SER-SDS-ZAP-SSS-DBS-000-02</t>
  </si>
  <si>
    <t>SER-SDS-ZAP-SSS-DES-000-01</t>
  </si>
  <si>
    <t>SER-SDS-ZAP-SSS-DES-000-02</t>
  </si>
  <si>
    <t>SER-SDS-ZAP-SSS-MAL-000-01</t>
  </si>
  <si>
    <t>SER-SDS-ZAP-SSS-MAL-000-02</t>
  </si>
  <si>
    <t>SER-SDS-ZAP-SSS-MAL-000-03</t>
  </si>
  <si>
    <t>SER-SDS-ZAP-SSS-CRM-000-01</t>
  </si>
  <si>
    <t>SER-SDS-ZAP-SSS-CRM-000-02</t>
  </si>
  <si>
    <t>SER-SDS-ZAP-SSS-CRM-000-03</t>
  </si>
  <si>
    <t>SER-SDS-ZAP-SSS-ADM-000-01</t>
  </si>
  <si>
    <t>SER-SDS-ZAP-SSS-ADM-000-02</t>
  </si>
  <si>
    <t>SER-SDS-ZAP-SSS-ADM-000-03</t>
  </si>
  <si>
    <t>SER-SDS-ZAO-DIS-ADM-000-01</t>
  </si>
  <si>
    <t>SER-SDS-ZAO-DIS-ADM-000-02</t>
  </si>
  <si>
    <t>SER-SDS-ZAO-DIS-ADM-000-03</t>
  </si>
  <si>
    <t>SER-SDS-ZAO-TCO-ADM-000-01</t>
  </si>
  <si>
    <t>Inwentaryzacja wraz z inspekcją materiałów dużych (standów, szaf)</t>
  </si>
  <si>
    <t>Inwentaryzacja wraz z inspekcją drobnych materiałów</t>
  </si>
  <si>
    <t>Standard report</t>
  </si>
  <si>
    <t>Wysyłka e-mailingowa w ramach akcji (do 10tyś adresów)</t>
  </si>
  <si>
    <t>Wysyłka e-mailingowa w ramach akcji (do 20tyś adresów)</t>
  </si>
  <si>
    <t>Telefon do punktu sprzedaży/Klienta (zrealizowany)</t>
  </si>
  <si>
    <t>Offered price listed per unit</t>
  </si>
  <si>
    <t>On-line Data base Application</t>
  </si>
  <si>
    <t>Development and implementation</t>
  </si>
  <si>
    <t>Monthly service</t>
  </si>
  <si>
    <t>Active user</t>
  </si>
  <si>
    <t>Non active user</t>
  </si>
  <si>
    <t xml:space="preserve">Order </t>
  </si>
  <si>
    <t>Standard Option - all required services</t>
  </si>
  <si>
    <t>Budget Option - possible risk with management of unique ID Number</t>
  </si>
  <si>
    <t>Lp.</t>
  </si>
  <si>
    <t>Rodzaj usługi</t>
  </si>
  <si>
    <t>Cena jednostkowa za realizację danej usługi</t>
  </si>
  <si>
    <t>Wartość VAT</t>
  </si>
  <si>
    <t xml:space="preserve"> [zł]</t>
  </si>
  <si>
    <t>A</t>
  </si>
  <si>
    <t>B</t>
  </si>
  <si>
    <t>C</t>
  </si>
  <si>
    <t>DOSTAWA</t>
  </si>
  <si>
    <t>Przyjęcie dostawy (w europaletach)</t>
  </si>
  <si>
    <t>Dystrybucja europalety</t>
  </si>
  <si>
    <t>Utylizacja materiałów</t>
  </si>
  <si>
    <t>Przyjęcie dostawy (w kartonach)</t>
  </si>
  <si>
    <t>PLATFORMA KOMUNIKACYJNA</t>
  </si>
  <si>
    <t xml:space="preserve">Przyjęcie niestandardowe (kontrola szczegółowa elementów zestawu eventowego) stawka za roboczo-godzinę </t>
  </si>
  <si>
    <t>POWIERZCHNIA MAGAZYNOWA</t>
  </si>
  <si>
    <t>netto [zł]</t>
  </si>
  <si>
    <t>brutto [zł]</t>
  </si>
  <si>
    <t>WYSYKŁA</t>
  </si>
  <si>
    <t>Dystrybucja karton</t>
  </si>
  <si>
    <t>Skompletowanie i przygotowanie wysyłki (NORMAL)</t>
  </si>
  <si>
    <t>Skompletowanie i przygotowanie wysyłki (EXPRES 24)</t>
  </si>
  <si>
    <r>
      <t>Wynajem powierzchni magazynowej 1</t>
    </r>
    <r>
      <rPr>
        <b/>
        <sz val="8"/>
        <rFont val="Arial"/>
        <family val="2"/>
        <charset val="238"/>
      </rPr>
      <t>m</t>
    </r>
    <r>
      <rPr>
        <b/>
        <sz val="8"/>
        <rFont val="Calibri"/>
        <family val="2"/>
        <charset val="238"/>
      </rPr>
      <t>²</t>
    </r>
  </si>
  <si>
    <t>Czyszczenie i Konserwacja Materiałów - 1 strój hostessy</t>
  </si>
  <si>
    <t>Czyszczenie i Konserwacja Materiałów - ścianka (1 szt.)</t>
  </si>
  <si>
    <t>Czyszczenie i Konserwacja Materiałów - namiot stelażowy (1 szt.)</t>
  </si>
  <si>
    <t>Czyszczenie i Konserwacja Materiałów - namiot pneumatyczny (1 szt.)</t>
  </si>
  <si>
    <t>Czyszczenie i Konserwacja Materiałów -  brama (1 szt.)</t>
  </si>
  <si>
    <t>Czyszczenie i Konserwacja Materiałów -  balon pneumatyczny (1 szt.) 3 M</t>
  </si>
  <si>
    <t>Czyszczenie i Konserwacja Materiałów -  balon pneumatyczny (1 szt.) 5 M</t>
  </si>
  <si>
    <t>Czyszczenie i Konserwacja Materiałów - trybunka (1 szt.)</t>
  </si>
  <si>
    <t>Czyszczenie i Konserwacja Materiałów - roll up (1szt.)</t>
  </si>
  <si>
    <t>Czyszczenie i Konserwacja Materiałów - pufy  (1szt.)</t>
  </si>
  <si>
    <t>Czyszczenie i Konserwacja Materiałów - windery (1szt.)</t>
  </si>
  <si>
    <t>Czyszczenie i Konserwacja Materiałów - banery (1szt.)</t>
  </si>
  <si>
    <t>Czyszczenie i Konserwacja Materiałów - krzesła, stoliki (1sz.t)</t>
  </si>
  <si>
    <t>Czyszczenie i Konserwacja Materiałów - lada eventowa (1szt.)</t>
  </si>
  <si>
    <t>USŁUGI CZYSZCZENIA I KONSERWACJI MATERIAŁÓW</t>
  </si>
  <si>
    <t>Przewidywana wolumen usług w jednym miesiącu kalendarzowym*</t>
  </si>
  <si>
    <t>Miesięczna cena za świadczenie danej usługi</t>
  </si>
  <si>
    <t>E</t>
  </si>
  <si>
    <t>D=BxC</t>
  </si>
  <si>
    <t>F=D+E</t>
  </si>
  <si>
    <t>Platforma do obsługi magazynu online (min. 5 użytkowników)</t>
  </si>
  <si>
    <t xml:space="preserve">PIERWSZE PRZYJĘCIE WSZYTKICH MATERIAŁÓW Z OBECNEJ LOKALIZACJI tj. Magazynu XBS Logistics PASS 20M w Błoniu </t>
  </si>
  <si>
    <r>
      <t>Załącznik nr 3 Formularz cenowy 
Ubiegając się o zamówienie na: „Zakup usług magazynowania, kompletowania, dystrybucji i konserwacji materiałów marketingowych przechowywanych w magazynie"</t>
    </r>
    <r>
      <rPr>
        <sz val="10"/>
        <rFont val="Arial"/>
        <family val="2"/>
        <charset val="238"/>
      </rPr>
      <t xml:space="preserve"> CRZ...</t>
    </r>
    <r>
      <rPr>
        <sz val="10"/>
        <rFont val="Arial"/>
        <family val="2"/>
      </rPr>
      <t xml:space="preserve">, oświadczamy, że oferujemy następujące ceny za wykonanie przedmiotu Zakupu: 
</t>
    </r>
  </si>
  <si>
    <t xml:space="preserve">**Przyjęta wartość służy wyłącznie do badania i oceny oferty. Faktycznie miesięczne wynagrodzenie Wykonawcy  zależeć będzie od bieżących potrzeb Zamawiającego i zostanie obliczone na podstawie cen jednostkowych określonych w kolumnie B Formularza cenowego. </t>
  </si>
  <si>
    <t>Kwoty należy podać z dokładnością do dwóch miejsc po przecinku, zgodnie z polskim systemem płatniczym po zaokrągleniu do pełnych groszy.</t>
  </si>
  <si>
    <t>SUMA**</t>
  </si>
  <si>
    <t>*Przyjęty wolumen został sporządzony wyłącznie na potrzeby badania i oceny ofert. Oznacza to, że w  przypadku braku realizacji przez Zamawiającego podanego wolumenu, Wykonawcy nie przysługuje żadne roszczenie. Faktyczna liczba realizowanych usług  zależeć będzie od bieżących potrzeb Zamawiającego, a wynagrodzenie Wykonawcy zostanie obliczone na podstawie cen jednostkowych określonych w kolumnie B Formularza cenowego</t>
  </si>
  <si>
    <t>Łączna wartość oferty wpisana w Formularzu cenowym musi być tożsama z łączna wartością oferty wpisaną w Formularzu ofertowym  [Załącznik nr 2 do Regulaminu postępowania]</t>
  </si>
  <si>
    <r>
      <t>Odbiór i transport materiałów z dotychczasowej lokalizac ji ok 280 m</t>
    </r>
    <r>
      <rPr>
        <b/>
        <sz val="8"/>
        <rFont val="Calibri"/>
        <family val="2"/>
        <charset val="238"/>
      </rPr>
      <t xml:space="preserve">² </t>
    </r>
  </si>
  <si>
    <t xml:space="preserve">Nadanie  indywidualnych kodów dla ok 200 produktów wraz z przypisaniem zdjęcia do każdego z nich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</si>
</sst>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\ [$zł-415]"/>
    <numFmt numFmtId="166" formatCode="_(* #,##0_);_(* \(#,##0\);_(* &quot;-&quot;_);_(@_)"/>
    <numFmt numFmtId="167" formatCode="_-* #,##0.00\ [$zł-415]_-;\-* #,##0.00\ [$zł-415]_-;_-* &quot;-&quot;\ [$zł-415]_-;_-@_-"/>
    <numFmt numFmtId="168" formatCode="_-* #,##0\ [$zł-415]_-;\-* #,##0\ [$zł-415]_-;_-* &quot;-&quot;\ [$zł-415]_-;_-@_-"/>
    <numFmt numFmtId="169" formatCode="_-* #,##0.00\ _€_-;\-* #,##0.00\ _€_-;_-* &quot;-&quot;??\ _€_-;_-@_-"/>
    <numFmt numFmtId="170" formatCode="_(* #,##0.00_);_(* \(#,##0.00\);_(* &quot;-&quot;??_);_(@_)"/>
    <numFmt numFmtId="171" formatCode="_-* #,##0.00\ &quot;€&quot;_-;\-* #,##0.00\ &quot;€&quot;_-;_-* &quot;-&quot;??\ &quot;€&quot;_-;_-@_-"/>
    <numFmt numFmtId="172" formatCode="0.0%"/>
    <numFmt numFmtId="173" formatCode="#,##0.000"/>
    <numFmt numFmtId="174" formatCode="_(* #,##0.00_);_(* \(#,##0.00\);_(* &quot;-&quot;_);_(@_)"/>
    <numFmt numFmtId="175" formatCode="_-* #,##0\ _z_ł_-;\-* #,##0\ _z_ł_-;_-* &quot;-&quot;??\ _z_ł_-;_-@_-"/>
    <numFmt numFmtId="176" formatCode="0.0000%"/>
    <numFmt numFmtId="177" formatCode="0.00000%"/>
    <numFmt numFmtId="178" formatCode="0.000%"/>
    <numFmt numFmtId="179" formatCode="0.000000%"/>
    <numFmt numFmtId="180" formatCode="#,##0_ ;\-#,##0\ "/>
  </numFmts>
  <fonts count="82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b/>
      <sz val="11"/>
      <color indexed="63"/>
      <name val="Calibri"/>
      <family val="2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17"/>
      <name val="Calibri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8"/>
      <color indexed="56"/>
      <name val="Cambria"/>
      <family val="2"/>
    </font>
    <font>
      <sz val="11"/>
      <color indexed="37"/>
      <name val="Calibri"/>
      <family val="2"/>
    </font>
    <font>
      <sz val="9"/>
      <name val="Calibri"/>
      <family val="2"/>
      <charset val="238"/>
      <scheme val="minor"/>
    </font>
    <font>
      <sz val="9"/>
      <color theme="1" tint="0.499984740745262"/>
      <name val="Calibri"/>
      <family val="2"/>
      <scheme val="minor"/>
    </font>
    <font>
      <b/>
      <sz val="9"/>
      <color theme="1" tint="0.499984740745262"/>
      <name val="Calibri"/>
      <family val="2"/>
      <scheme val="minor"/>
    </font>
    <font>
      <sz val="7"/>
      <name val="Calibri"/>
      <family val="2"/>
      <scheme val="minor"/>
    </font>
    <font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0" tint="-4.9989318521683403E-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rgb="FF002060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i/>
      <sz val="9"/>
      <name val="Calibri"/>
      <family val="2"/>
      <charset val="238"/>
      <scheme val="minor"/>
    </font>
    <font>
      <sz val="9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color theme="1" tint="0.14999847407452621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 tint="0.1499984740745262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Arial"/>
      <family val="2"/>
      <charset val="238"/>
    </font>
  </fonts>
  <fills count="87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24">
    <border>
      <left/>
      <right/>
      <top/>
      <bottom/>
      <diagonal/>
    </border>
    <border>
      <left style="double">
        <color theme="3" tint="0.39994506668294322"/>
      </left>
      <right/>
      <top style="double">
        <color theme="3" tint="0.39994506668294322"/>
      </top>
      <bottom/>
      <diagonal/>
    </border>
    <border>
      <left/>
      <right/>
      <top style="double">
        <color theme="3" tint="0.39994506668294322"/>
      </top>
      <bottom/>
      <diagonal/>
    </border>
    <border>
      <left/>
      <right style="double">
        <color theme="3" tint="0.39994506668294322"/>
      </right>
      <top style="double">
        <color theme="3" tint="0.39994506668294322"/>
      </top>
      <bottom/>
      <diagonal/>
    </border>
    <border>
      <left style="double">
        <color theme="3" tint="0.39994506668294322"/>
      </left>
      <right/>
      <top/>
      <bottom/>
      <diagonal/>
    </border>
    <border>
      <left/>
      <right style="double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/>
      <right/>
      <top/>
      <bottom style="thin">
        <color theme="3" tint="0.39988402966399123"/>
      </bottom>
      <diagonal/>
    </border>
    <border>
      <left style="double">
        <color theme="3" tint="0.39994506668294322"/>
      </left>
      <right/>
      <top/>
      <bottom style="double">
        <color theme="3" tint="0.39994506668294322"/>
      </bottom>
      <diagonal/>
    </border>
    <border>
      <left/>
      <right/>
      <top/>
      <bottom style="double">
        <color theme="3" tint="0.39994506668294322"/>
      </bottom>
      <diagonal/>
    </border>
    <border>
      <left/>
      <right style="double">
        <color theme="3" tint="0.39994506668294322"/>
      </right>
      <top/>
      <bottom style="double">
        <color theme="3" tint="0.3999450666829432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double">
        <color theme="3" tint="0.39991454817346722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3" tint="0.39988402966399123"/>
      </top>
      <bottom style="thin">
        <color theme="4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4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4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/>
      <top style="thin">
        <color theme="4"/>
      </top>
      <bottom style="thin">
        <color theme="4"/>
      </bottom>
      <diagonal/>
    </border>
    <border>
      <left/>
      <right style="thin">
        <color theme="3" tint="0.39988402966399123"/>
      </right>
      <top style="thin">
        <color theme="4"/>
      </top>
      <bottom style="thin">
        <color theme="4"/>
      </bottom>
      <diagonal/>
    </border>
    <border>
      <left style="thin">
        <color theme="3" tint="0.39985351115451523"/>
      </left>
      <right/>
      <top style="thin">
        <color theme="3" tint="0.39985351115451523"/>
      </top>
      <bottom style="thin">
        <color theme="3" tint="0.39985351115451523"/>
      </bottom>
      <diagonal/>
    </border>
    <border>
      <left/>
      <right/>
      <top style="thin">
        <color theme="3" tint="0.39985351115451523"/>
      </top>
      <bottom style="thin">
        <color theme="3" tint="0.39985351115451523"/>
      </bottom>
      <diagonal/>
    </border>
    <border>
      <left/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85351115451523"/>
      </right>
      <top/>
      <bottom style="thin">
        <color theme="4"/>
      </bottom>
      <diagonal/>
    </border>
    <border>
      <left style="thin">
        <color theme="3" tint="0.39985351115451523"/>
      </left>
      <right/>
      <top/>
      <bottom/>
      <diagonal/>
    </border>
    <border>
      <left/>
      <right style="thin">
        <color theme="3" tint="0.39985351115451523"/>
      </right>
      <top/>
      <bottom/>
      <diagonal/>
    </border>
    <border>
      <left style="thin">
        <color theme="3" tint="0.39985351115451523"/>
      </left>
      <right/>
      <top/>
      <bottom style="thin">
        <color theme="3" tint="0.39985351115451523"/>
      </bottom>
      <diagonal/>
    </border>
    <border>
      <left/>
      <right/>
      <top/>
      <bottom style="thin">
        <color theme="3" tint="0.39985351115451523"/>
      </bottom>
      <diagonal/>
    </border>
    <border>
      <left/>
      <right style="thin">
        <color theme="3" tint="0.39985351115451523"/>
      </right>
      <top/>
      <bottom style="thin">
        <color theme="3" tint="0.39985351115451523"/>
      </bottom>
      <diagonal/>
    </border>
    <border>
      <left/>
      <right style="double">
        <color theme="3" tint="0.39991454817346722"/>
      </right>
      <top/>
      <bottom/>
      <diagonal/>
    </border>
    <border>
      <left style="double">
        <color theme="3" tint="0.39988402966399123"/>
      </left>
      <right/>
      <top style="double">
        <color theme="3" tint="0.39988402966399123"/>
      </top>
      <bottom/>
      <diagonal/>
    </border>
    <border>
      <left/>
      <right/>
      <top style="double">
        <color theme="3" tint="0.39988402966399123"/>
      </top>
      <bottom/>
      <diagonal/>
    </border>
    <border>
      <left style="double">
        <color theme="3" tint="0.39988402966399123"/>
      </left>
      <right/>
      <top/>
      <bottom/>
      <diagonal/>
    </border>
    <border>
      <left style="double">
        <color theme="3" tint="0.39988402966399123"/>
      </left>
      <right/>
      <top/>
      <bottom style="double">
        <color theme="3" tint="0.39988402966399123"/>
      </bottom>
      <diagonal/>
    </border>
    <border>
      <left/>
      <right/>
      <top/>
      <bottom style="double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double">
        <color theme="3" tint="0.39991454817346722"/>
      </left>
      <right/>
      <top style="double">
        <color theme="3" tint="0.39991454817346722"/>
      </top>
      <bottom/>
      <diagonal/>
    </border>
    <border>
      <left/>
      <right/>
      <top style="double">
        <color theme="3" tint="0.39991454817346722"/>
      </top>
      <bottom/>
      <diagonal/>
    </border>
    <border>
      <left/>
      <right style="double">
        <color theme="3" tint="0.39991454817346722"/>
      </right>
      <top style="double">
        <color theme="3" tint="0.39991454817346722"/>
      </top>
      <bottom/>
      <diagonal/>
    </border>
    <border>
      <left style="double">
        <color theme="3" tint="0.39991454817346722"/>
      </left>
      <right/>
      <top/>
      <bottom style="double">
        <color theme="3" tint="0.39991454817346722"/>
      </bottom>
      <diagonal/>
    </border>
    <border>
      <left/>
      <right/>
      <top/>
      <bottom style="double">
        <color theme="3" tint="0.39991454817346722"/>
      </bottom>
      <diagonal/>
    </border>
    <border>
      <left/>
      <right style="double">
        <color theme="3" tint="0.39991454817346722"/>
      </right>
      <top/>
      <bottom style="double">
        <color theme="3" tint="0.39991454817346722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 style="double">
        <color theme="3" tint="0.39988402966399123"/>
      </right>
      <top style="double">
        <color theme="3" tint="0.39988402966399123"/>
      </top>
      <bottom/>
      <diagonal/>
    </border>
    <border>
      <left/>
      <right style="double">
        <color theme="3" tint="0.39988402966399123"/>
      </right>
      <top/>
      <bottom/>
      <diagonal/>
    </border>
    <border>
      <left/>
      <right style="double">
        <color theme="3" tint="0.39988402966399123"/>
      </right>
      <top/>
      <bottom style="double">
        <color theme="3" tint="0.39988402966399123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26">
    <xf numFmtId="0" fontId="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17" borderId="0" applyNumberFormat="0" applyBorder="0" applyAlignment="0" applyProtection="0"/>
    <xf numFmtId="0" fontId="13" fillId="25" borderId="0" applyNumberFormat="0" applyBorder="0" applyAlignment="0" applyProtection="0"/>
    <xf numFmtId="0" fontId="13" fillId="32" borderId="0" applyNumberFormat="0" applyBorder="0" applyAlignment="0" applyProtection="0"/>
    <xf numFmtId="0" fontId="14" fillId="26" borderId="0" applyNumberFormat="0" applyBorder="0" applyAlignment="0" applyProtection="0"/>
    <xf numFmtId="0" fontId="14" fillId="18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4" fillId="23" borderId="0" applyNumberFormat="0" applyBorder="0" applyAlignment="0" applyProtection="0"/>
    <xf numFmtId="0" fontId="14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23" borderId="0" applyNumberFormat="0" applyBorder="0" applyAlignment="0" applyProtection="0"/>
    <xf numFmtId="0" fontId="14" fillId="4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44" borderId="34" applyNumberFormat="0" applyAlignment="0" applyProtection="0"/>
    <xf numFmtId="0" fontId="17" fillId="44" borderId="34" applyNumberFormat="0" applyAlignment="0" applyProtection="0"/>
    <xf numFmtId="0" fontId="18" fillId="0" borderId="35" applyNumberFormat="0" applyFill="0" applyAlignment="0" applyProtection="0"/>
    <xf numFmtId="0" fontId="19" fillId="45" borderId="36" applyNumberFormat="0" applyAlignment="0" applyProtection="0"/>
    <xf numFmtId="0" fontId="13" fillId="46" borderId="37" applyNumberFormat="0" applyFont="0" applyAlignment="0" applyProtection="0"/>
    <xf numFmtId="0" fontId="20" fillId="37" borderId="38" applyNumberFormat="0" applyAlignment="0" applyProtection="0"/>
    <xf numFmtId="0" fontId="21" fillId="47" borderId="39" applyNumberFormat="0" applyAlignment="0" applyProtection="0"/>
    <xf numFmtId="0" fontId="13" fillId="30" borderId="0" applyNumberFormat="0" applyBorder="0" applyAlignment="0" applyProtection="0"/>
    <xf numFmtId="164" fontId="22" fillId="0" borderId="0" applyFont="0" applyFill="0" applyBorder="0" applyAlignment="0" applyProtection="0"/>
    <xf numFmtId="169" fontId="23" fillId="0" borderId="0" applyFont="0" applyFill="0" applyBorder="0" applyAlignment="0" applyProtection="0"/>
    <xf numFmtId="170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7" fillId="11" borderId="34" applyNumberFormat="0" applyAlignment="0" applyProtection="0"/>
    <xf numFmtId="171" fontId="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0" borderId="40" applyNumberFormat="0" applyFill="0" applyAlignment="0" applyProtection="0"/>
    <xf numFmtId="0" fontId="31" fillId="0" borderId="41" applyNumberFormat="0" applyFill="0" applyAlignment="0" applyProtection="0"/>
    <xf numFmtId="0" fontId="32" fillId="0" borderId="42" applyNumberFormat="0" applyFill="0" applyAlignment="0" applyProtection="0"/>
    <xf numFmtId="0" fontId="32" fillId="0" borderId="0" applyNumberFormat="0" applyFill="0" applyBorder="0" applyAlignment="0" applyProtection="0"/>
    <xf numFmtId="0" fontId="27" fillId="11" borderId="34" applyNumberFormat="0" applyAlignment="0" applyProtection="0"/>
    <xf numFmtId="0" fontId="16" fillId="7" borderId="0" applyNumberFormat="0" applyBorder="0" applyAlignment="0" applyProtection="0"/>
    <xf numFmtId="0" fontId="29" fillId="0" borderId="43" applyNumberFormat="0" applyFill="0" applyAlignment="0" applyProtection="0"/>
    <xf numFmtId="0" fontId="19" fillId="42" borderId="36" applyNumberFormat="0" applyAlignment="0" applyProtection="0"/>
    <xf numFmtId="0" fontId="18" fillId="0" borderId="35" applyNumberFormat="0" applyFill="0" applyAlignment="0" applyProtection="0"/>
    <xf numFmtId="0" fontId="33" fillId="0" borderId="44" applyNumberFormat="0" applyFill="0" applyAlignment="0" applyProtection="0"/>
    <xf numFmtId="0" fontId="34" fillId="0" borderId="45" applyNumberFormat="0" applyFill="0" applyAlignment="0" applyProtection="0"/>
    <xf numFmtId="0" fontId="35" fillId="0" borderId="46" applyNumberFormat="0" applyFill="0" applyAlignment="0" applyProtection="0"/>
    <xf numFmtId="0" fontId="35" fillId="0" borderId="0" applyNumberFormat="0" applyFill="0" applyBorder="0" applyAlignment="0" applyProtection="0"/>
    <xf numFmtId="0" fontId="36" fillId="51" borderId="0" applyNumberFormat="0" applyBorder="0" applyAlignment="0" applyProtection="0"/>
    <xf numFmtId="0" fontId="29" fillId="37" borderId="0" applyNumberFormat="0" applyBorder="0" applyAlignment="0" applyProtection="0"/>
    <xf numFmtId="0" fontId="36" fillId="51" borderId="0" applyNumberFormat="0" applyBorder="0" applyAlignment="0" applyProtection="0"/>
    <xf numFmtId="0" fontId="5" fillId="0" borderId="0"/>
    <xf numFmtId="0" fontId="4" fillId="0" borderId="0"/>
    <xf numFmtId="0" fontId="22" fillId="0" borderId="0"/>
    <xf numFmtId="0" fontId="37" fillId="0" borderId="0"/>
    <xf numFmtId="0" fontId="38" fillId="0" borderId="0"/>
    <xf numFmtId="0" fontId="23" fillId="0" borderId="0"/>
    <xf numFmtId="0" fontId="39" fillId="0" borderId="0"/>
    <xf numFmtId="0" fontId="24" fillId="0" borderId="0"/>
    <xf numFmtId="0" fontId="24" fillId="0" borderId="0"/>
    <xf numFmtId="0" fontId="40" fillId="52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0" fillId="52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41" fillId="46" borderId="37" applyNumberFormat="0" applyFont="0" applyAlignment="0" applyProtection="0"/>
    <xf numFmtId="0" fontId="42" fillId="47" borderId="38" applyNumberFormat="0" applyAlignment="0" applyProtection="0"/>
    <xf numFmtId="0" fontId="21" fillId="44" borderId="39" applyNumberForma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3" fillId="0" borderId="0" applyFont="0" applyFill="0" applyBorder="0" applyAlignment="0" applyProtection="0"/>
    <xf numFmtId="4" fontId="44" fillId="51" borderId="38" applyNumberFormat="0" applyProtection="0">
      <alignment vertical="center"/>
    </xf>
    <xf numFmtId="4" fontId="45" fillId="53" borderId="38" applyNumberFormat="0" applyProtection="0">
      <alignment vertical="center"/>
    </xf>
    <xf numFmtId="4" fontId="44" fillId="53" borderId="38" applyNumberFormat="0" applyProtection="0">
      <alignment horizontal="left" vertical="center" indent="1"/>
    </xf>
    <xf numFmtId="0" fontId="46" fillId="51" borderId="47" applyNumberFormat="0" applyProtection="0">
      <alignment horizontal="left" vertical="top" indent="1"/>
    </xf>
    <xf numFmtId="4" fontId="44" fillId="18" borderId="38" applyNumberFormat="0" applyProtection="0">
      <alignment horizontal="left" vertical="center" indent="1"/>
    </xf>
    <xf numFmtId="4" fontId="44" fillId="7" borderId="38" applyNumberFormat="0" applyProtection="0">
      <alignment horizontal="right" vertical="center"/>
    </xf>
    <xf numFmtId="4" fontId="44" fillId="54" borderId="38" applyNumberFormat="0" applyProtection="0">
      <alignment horizontal="right" vertical="center"/>
    </xf>
    <xf numFmtId="4" fontId="44" fillId="24" borderId="48" applyNumberFormat="0" applyProtection="0">
      <alignment horizontal="right" vertical="center"/>
    </xf>
    <xf numFmtId="4" fontId="44" fillId="15" borderId="38" applyNumberFormat="0" applyProtection="0">
      <alignment horizontal="right" vertical="center"/>
    </xf>
    <xf numFmtId="4" fontId="44" fillId="19" borderId="38" applyNumberFormat="0" applyProtection="0">
      <alignment horizontal="right" vertical="center"/>
    </xf>
    <xf numFmtId="4" fontId="44" fillId="35" borderId="38" applyNumberFormat="0" applyProtection="0">
      <alignment horizontal="right" vertical="center"/>
    </xf>
    <xf numFmtId="4" fontId="44" fillId="28" borderId="38" applyNumberFormat="0" applyProtection="0">
      <alignment horizontal="right" vertical="center"/>
    </xf>
    <xf numFmtId="4" fontId="44" fillId="55" borderId="38" applyNumberFormat="0" applyProtection="0">
      <alignment horizontal="right" vertical="center"/>
    </xf>
    <xf numFmtId="4" fontId="44" fillId="14" borderId="38" applyNumberFormat="0" applyProtection="0">
      <alignment horizontal="right" vertical="center"/>
    </xf>
    <xf numFmtId="4" fontId="44" fillId="56" borderId="48" applyNumberFormat="0" applyProtection="0">
      <alignment horizontal="left" vertical="center" indent="1"/>
    </xf>
    <xf numFmtId="4" fontId="5" fillId="57" borderId="48" applyNumberFormat="0" applyProtection="0">
      <alignment horizontal="left" vertical="center" indent="1"/>
    </xf>
    <xf numFmtId="4" fontId="5" fillId="57" borderId="48" applyNumberFormat="0" applyProtection="0">
      <alignment horizontal="left" vertical="center" indent="1"/>
    </xf>
    <xf numFmtId="4" fontId="44" fillId="58" borderId="38" applyNumberFormat="0" applyProtection="0">
      <alignment horizontal="right" vertical="center"/>
    </xf>
    <xf numFmtId="4" fontId="44" fillId="59" borderId="48" applyNumberFormat="0" applyProtection="0">
      <alignment horizontal="left" vertical="center" indent="1"/>
    </xf>
    <xf numFmtId="4" fontId="44" fillId="58" borderId="48" applyNumberFormat="0" applyProtection="0">
      <alignment horizontal="left" vertical="center" indent="1"/>
    </xf>
    <xf numFmtId="0" fontId="44" fillId="44" borderId="38" applyNumberFormat="0" applyProtection="0">
      <alignment horizontal="left" vertical="center" indent="1"/>
    </xf>
    <xf numFmtId="0" fontId="44" fillId="57" borderId="47" applyNumberFormat="0" applyProtection="0">
      <alignment horizontal="left" vertical="top" indent="1"/>
    </xf>
    <xf numFmtId="0" fontId="44" fillId="60" borderId="38" applyNumberFormat="0" applyProtection="0">
      <alignment horizontal="left" vertical="center" indent="1"/>
    </xf>
    <xf numFmtId="0" fontId="44" fillId="58" borderId="47" applyNumberFormat="0" applyProtection="0">
      <alignment horizontal="left" vertical="top" indent="1"/>
    </xf>
    <xf numFmtId="0" fontId="44" fillId="12" borderId="38" applyNumberFormat="0" applyProtection="0">
      <alignment horizontal="left" vertical="center" indent="1"/>
    </xf>
    <xf numFmtId="0" fontId="44" fillId="12" borderId="47" applyNumberFormat="0" applyProtection="0">
      <alignment horizontal="left" vertical="top" indent="1"/>
    </xf>
    <xf numFmtId="0" fontId="44" fillId="59" borderId="38" applyNumberFormat="0" applyProtection="0">
      <alignment horizontal="left" vertical="center" indent="1"/>
    </xf>
    <xf numFmtId="0" fontId="44" fillId="59" borderId="47" applyNumberFormat="0" applyProtection="0">
      <alignment horizontal="left" vertical="top" indent="1"/>
    </xf>
    <xf numFmtId="0" fontId="44" fillId="61" borderId="49" applyNumberFormat="0">
      <protection locked="0"/>
    </xf>
    <xf numFmtId="0" fontId="47" fillId="57" borderId="50" applyBorder="0"/>
    <xf numFmtId="4" fontId="48" fillId="46" borderId="47" applyNumberFormat="0" applyProtection="0">
      <alignment vertical="center"/>
    </xf>
    <xf numFmtId="4" fontId="45" fillId="62" borderId="51" applyNumberFormat="0" applyProtection="0">
      <alignment vertical="center"/>
    </xf>
    <xf numFmtId="4" fontId="48" fillId="44" borderId="47" applyNumberFormat="0" applyProtection="0">
      <alignment horizontal="left" vertical="center" indent="1"/>
    </xf>
    <xf numFmtId="0" fontId="48" fillId="46" borderId="47" applyNumberFormat="0" applyProtection="0">
      <alignment horizontal="left" vertical="top" indent="1"/>
    </xf>
    <xf numFmtId="4" fontId="44" fillId="0" borderId="38" applyNumberFormat="0" applyProtection="0">
      <alignment horizontal="right" vertical="center"/>
    </xf>
    <xf numFmtId="4" fontId="45" fillId="63" borderId="38" applyNumberFormat="0" applyProtection="0">
      <alignment horizontal="right" vertical="center"/>
    </xf>
    <xf numFmtId="4" fontId="44" fillId="18" borderId="38" applyNumberFormat="0" applyProtection="0">
      <alignment horizontal="left" vertical="center" indent="1"/>
    </xf>
    <xf numFmtId="0" fontId="48" fillId="58" borderId="47" applyNumberFormat="0" applyProtection="0">
      <alignment horizontal="left" vertical="top" indent="1"/>
    </xf>
    <xf numFmtId="4" fontId="49" fillId="64" borderId="48" applyNumberFormat="0" applyProtection="0">
      <alignment horizontal="left" vertical="center" indent="1"/>
    </xf>
    <xf numFmtId="0" fontId="44" fillId="65" borderId="51"/>
    <xf numFmtId="4" fontId="50" fillId="61" borderId="38" applyNumberFormat="0" applyProtection="0">
      <alignment horizontal="right" vertical="center"/>
    </xf>
    <xf numFmtId="0" fontId="29" fillId="8" borderId="0" applyNumberFormat="0" applyBorder="0" applyAlignment="0" applyProtection="0"/>
    <xf numFmtId="0" fontId="51" fillId="0" borderId="0" applyNumberFormat="0" applyFill="0" applyBorder="0" applyAlignment="0" applyProtection="0"/>
    <xf numFmtId="0" fontId="21" fillId="44" borderId="39" applyNumberFormat="0" applyAlignment="0" applyProtection="0"/>
    <xf numFmtId="0" fontId="26" fillId="0" borderId="52" applyNumberFormat="0" applyFill="0" applyAlignment="0" applyProtection="0"/>
    <xf numFmtId="0" fontId="5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0" fillId="0" borderId="40" applyNumberFormat="0" applyFill="0" applyAlignment="0" applyProtection="0"/>
    <xf numFmtId="0" fontId="31" fillId="0" borderId="41" applyNumberFormat="0" applyFill="0" applyAlignment="0" applyProtection="0"/>
    <xf numFmtId="0" fontId="32" fillId="0" borderId="42" applyNumberFormat="0" applyFill="0" applyAlignment="0" applyProtection="0"/>
    <xf numFmtId="0" fontId="32" fillId="0" borderId="0" applyNumberFormat="0" applyFill="0" applyBorder="0" applyAlignment="0" applyProtection="0"/>
    <xf numFmtId="0" fontId="26" fillId="0" borderId="53" applyNumberFormat="0" applyFill="0" applyAlignment="0" applyProtection="0"/>
    <xf numFmtId="0" fontId="44" fillId="36" borderId="38" applyNumberFormat="0" applyFont="0" applyAlignment="0" applyProtection="0"/>
    <xf numFmtId="0" fontId="19" fillId="45" borderId="36" applyNumberFormat="0" applyAlignment="0" applyProtection="0"/>
    <xf numFmtId="44" fontId="25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54" fillId="36" borderId="0" applyNumberFormat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7" fontId="1" fillId="0" borderId="0"/>
    <xf numFmtId="0" fontId="39" fillId="0" borderId="0"/>
  </cellStyleXfs>
  <cellXfs count="570">
    <xf numFmtId="0" fontId="0" fillId="0" borderId="0" xfId="0"/>
    <xf numFmtId="0" fontId="6" fillId="0" borderId="1" xfId="0" applyFont="1" applyBorder="1"/>
    <xf numFmtId="0" fontId="6" fillId="0" borderId="2" xfId="0" applyFont="1" applyBorder="1"/>
    <xf numFmtId="165" fontId="6" fillId="0" borderId="2" xfId="0" applyNumberFormat="1" applyFont="1" applyBorder="1"/>
    <xf numFmtId="166" fontId="6" fillId="0" borderId="2" xfId="0" applyNumberFormat="1" applyFont="1" applyBorder="1"/>
    <xf numFmtId="0" fontId="6" fillId="0" borderId="3" xfId="0" applyFont="1" applyBorder="1"/>
    <xf numFmtId="0" fontId="6" fillId="0" borderId="6" xfId="0" applyFont="1" applyBorder="1"/>
    <xf numFmtId="165" fontId="6" fillId="0" borderId="0" xfId="0" applyNumberFormat="1" applyFont="1"/>
    <xf numFmtId="166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165" fontId="6" fillId="0" borderId="12" xfId="0" applyNumberFormat="1" applyFont="1" applyBorder="1"/>
    <xf numFmtId="166" fontId="6" fillId="0" borderId="12" xfId="0" applyNumberFormat="1" applyFont="1" applyBorder="1"/>
    <xf numFmtId="0" fontId="6" fillId="0" borderId="13" xfId="0" applyFont="1" applyBorder="1"/>
    <xf numFmtId="0" fontId="7" fillId="0" borderId="0" xfId="0" applyFont="1"/>
    <xf numFmtId="168" fontId="8" fillId="0" borderId="0" xfId="0" applyNumberFormat="1" applyFont="1"/>
    <xf numFmtId="0" fontId="6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6" fillId="0" borderId="17" xfId="0" applyFont="1" applyBorder="1"/>
    <xf numFmtId="0" fontId="6" fillId="0" borderId="18" xfId="0" applyFont="1" applyBorder="1"/>
    <xf numFmtId="168" fontId="6" fillId="0" borderId="0" xfId="0" applyNumberFormat="1" applyFont="1"/>
    <xf numFmtId="0" fontId="6" fillId="0" borderId="22" xfId="0" applyFont="1" applyBorder="1"/>
    <xf numFmtId="168" fontId="6" fillId="0" borderId="0" xfId="0" applyNumberFormat="1" applyFont="1" applyAlignment="1">
      <alignment horizontal="center"/>
    </xf>
    <xf numFmtId="168" fontId="8" fillId="0" borderId="25" xfId="0" applyNumberFormat="1" applyFont="1" applyBorder="1"/>
    <xf numFmtId="0" fontId="6" fillId="0" borderId="33" xfId="0" applyFont="1" applyBorder="1"/>
    <xf numFmtId="165" fontId="6" fillId="0" borderId="25" xfId="0" applyNumberFormat="1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8" fontId="6" fillId="0" borderId="2" xfId="0" applyNumberFormat="1" applyFont="1" applyBorder="1"/>
    <xf numFmtId="0" fontId="6" fillId="0" borderId="4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165" fontId="6" fillId="0" borderId="23" xfId="0" applyNumberFormat="1" applyFont="1" applyBorder="1" applyAlignment="1">
      <alignment horizontal="center"/>
    </xf>
    <xf numFmtId="166" fontId="6" fillId="0" borderId="2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68" fontId="6" fillId="0" borderId="30" xfId="0" applyNumberFormat="1" applyFont="1" applyBorder="1"/>
    <xf numFmtId="165" fontId="6" fillId="0" borderId="26" xfId="0" applyNumberFormat="1" applyFont="1" applyBorder="1"/>
    <xf numFmtId="166" fontId="6" fillId="0" borderId="26" xfId="0" applyNumberFormat="1" applyFont="1" applyBorder="1"/>
    <xf numFmtId="168" fontId="6" fillId="0" borderId="26" xfId="0" applyNumberFormat="1" applyFont="1" applyBorder="1"/>
    <xf numFmtId="168" fontId="6" fillId="0" borderId="29" xfId="0" applyNumberFormat="1" applyFont="1" applyBorder="1"/>
    <xf numFmtId="168" fontId="6" fillId="0" borderId="12" xfId="0" applyNumberFormat="1" applyFont="1" applyBorder="1"/>
    <xf numFmtId="0" fontId="6" fillId="0" borderId="55" xfId="0" applyFont="1" applyBorder="1"/>
    <xf numFmtId="168" fontId="6" fillId="0" borderId="25" xfId="0" applyNumberFormat="1" applyFont="1" applyBorder="1" applyAlignment="1">
      <alignment horizontal="center"/>
    </xf>
    <xf numFmtId="172" fontId="6" fillId="0" borderId="0" xfId="0" applyNumberFormat="1" applyFont="1"/>
    <xf numFmtId="172" fontId="6" fillId="0" borderId="2" xfId="0" applyNumberFormat="1" applyFont="1" applyBorder="1"/>
    <xf numFmtId="172" fontId="6" fillId="0" borderId="24" xfId="0" applyNumberFormat="1" applyFont="1" applyBorder="1" applyAlignment="1">
      <alignment horizontal="center"/>
    </xf>
    <xf numFmtId="172" fontId="6" fillId="0" borderId="16" xfId="0" applyNumberFormat="1" applyFont="1" applyBorder="1"/>
    <xf numFmtId="172" fontId="6" fillId="0" borderId="18" xfId="0" applyNumberFormat="1" applyFont="1" applyBorder="1"/>
    <xf numFmtId="172" fontId="6" fillId="0" borderId="21" xfId="0" applyNumberFormat="1" applyFont="1" applyBorder="1"/>
    <xf numFmtId="172" fontId="6" fillId="0" borderId="12" xfId="0" applyNumberFormat="1" applyFont="1" applyBorder="1"/>
    <xf numFmtId="168" fontId="6" fillId="0" borderId="23" xfId="0" applyNumberFormat="1" applyFont="1" applyBorder="1"/>
    <xf numFmtId="168" fontId="6" fillId="0" borderId="24" xfId="0" applyNumberFormat="1" applyFont="1" applyBorder="1"/>
    <xf numFmtId="172" fontId="6" fillId="0" borderId="24" xfId="219" applyNumberFormat="1" applyFont="1" applyBorder="1"/>
    <xf numFmtId="168" fontId="6" fillId="0" borderId="31" xfId="0" applyNumberFormat="1" applyFont="1" applyBorder="1"/>
    <xf numFmtId="0" fontId="12" fillId="2" borderId="27" xfId="0" applyFont="1" applyFill="1" applyBorder="1"/>
    <xf numFmtId="0" fontId="12" fillId="2" borderId="56" xfId="0" applyFont="1" applyFill="1" applyBorder="1"/>
    <xf numFmtId="0" fontId="6" fillId="0" borderId="54" xfId="0" applyFont="1" applyBorder="1"/>
    <xf numFmtId="0" fontId="6" fillId="0" borderId="55" xfId="0" applyFont="1" applyBorder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66" borderId="0" xfId="0" applyFont="1" applyFill="1" applyAlignment="1">
      <alignment horizontal="center"/>
    </xf>
    <xf numFmtId="0" fontId="12" fillId="66" borderId="0" xfId="0" applyFont="1" applyFill="1" applyAlignment="1">
      <alignment horizontal="left"/>
    </xf>
    <xf numFmtId="0" fontId="12" fillId="0" borderId="5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6" fillId="0" borderId="54" xfId="0" applyFont="1" applyBorder="1" applyAlignment="1">
      <alignment horizontal="center"/>
    </xf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165" fontId="6" fillId="0" borderId="14" xfId="0" applyNumberFormat="1" applyFont="1" applyBorder="1"/>
    <xf numFmtId="165" fontId="6" fillId="0" borderId="17" xfId="0" applyNumberFormat="1" applyFont="1" applyBorder="1"/>
    <xf numFmtId="165" fontId="6" fillId="0" borderId="19" xfId="0" applyNumberFormat="1" applyFont="1" applyBorder="1"/>
    <xf numFmtId="165" fontId="6" fillId="0" borderId="30" xfId="0" applyNumberFormat="1" applyFont="1" applyBorder="1"/>
    <xf numFmtId="165" fontId="6" fillId="0" borderId="29" xfId="0" applyNumberFormat="1" applyFont="1" applyBorder="1"/>
    <xf numFmtId="166" fontId="6" fillId="0" borderId="30" xfId="0" applyNumberFormat="1" applyFont="1" applyBorder="1"/>
    <xf numFmtId="166" fontId="6" fillId="0" borderId="29" xfId="0" applyNumberFormat="1" applyFont="1" applyBorder="1"/>
    <xf numFmtId="0" fontId="6" fillId="0" borderId="65" xfId="0" applyFont="1" applyBorder="1"/>
    <xf numFmtId="174" fontId="6" fillId="0" borderId="26" xfId="0" applyNumberFormat="1" applyFont="1" applyBorder="1"/>
    <xf numFmtId="0" fontId="6" fillId="0" borderId="68" xfId="0" applyFont="1" applyBorder="1"/>
    <xf numFmtId="0" fontId="6" fillId="0" borderId="69" xfId="0" applyFont="1" applyBorder="1"/>
    <xf numFmtId="0" fontId="6" fillId="0" borderId="70" xfId="0" applyFont="1" applyBorder="1"/>
    <xf numFmtId="0" fontId="6" fillId="0" borderId="71" xfId="0" applyFont="1" applyBorder="1"/>
    <xf numFmtId="0" fontId="6" fillId="0" borderId="72" xfId="0" applyFont="1" applyBorder="1"/>
    <xf numFmtId="0" fontId="6" fillId="0" borderId="73" xfId="0" applyFont="1" applyBorder="1"/>
    <xf numFmtId="0" fontId="12" fillId="2" borderId="28" xfId="0" applyFont="1" applyFill="1" applyBorder="1" applyAlignment="1">
      <alignment horizontal="center"/>
    </xf>
    <xf numFmtId="0" fontId="12" fillId="2" borderId="27" xfId="0" applyFont="1" applyFill="1" applyBorder="1" applyAlignment="1">
      <alignment horizontal="center"/>
    </xf>
    <xf numFmtId="173" fontId="6" fillId="0" borderId="17" xfId="80" applyNumberFormat="1" applyFont="1" applyBorder="1"/>
    <xf numFmtId="0" fontId="6" fillId="0" borderId="74" xfId="0" applyFont="1" applyBorder="1"/>
    <xf numFmtId="0" fontId="12" fillId="68" borderId="31" xfId="0" applyFont="1" applyFill="1" applyBorder="1"/>
    <xf numFmtId="0" fontId="12" fillId="67" borderId="28" xfId="0" applyFont="1" applyFill="1" applyBorder="1"/>
    <xf numFmtId="0" fontId="12" fillId="67" borderId="27" xfId="0" applyFont="1" applyFill="1" applyBorder="1" applyAlignment="1">
      <alignment horizontal="center"/>
    </xf>
    <xf numFmtId="0" fontId="12" fillId="67" borderId="27" xfId="0" applyFont="1" applyFill="1" applyBorder="1"/>
    <xf numFmtId="0" fontId="12" fillId="67" borderId="56" xfId="0" applyFont="1" applyFill="1" applyBorder="1"/>
    <xf numFmtId="166" fontId="12" fillId="67" borderId="27" xfId="0" applyNumberFormat="1" applyFont="1" applyFill="1" applyBorder="1"/>
    <xf numFmtId="168" fontId="12" fillId="67" borderId="27" xfId="0" applyNumberFormat="1" applyFont="1" applyFill="1" applyBorder="1"/>
    <xf numFmtId="166" fontId="12" fillId="68" borderId="8" xfId="0" applyNumberFormat="1" applyFont="1" applyFill="1" applyBorder="1"/>
    <xf numFmtId="168" fontId="12" fillId="68" borderId="8" xfId="0" applyNumberFormat="1" applyFont="1" applyFill="1" applyBorder="1"/>
    <xf numFmtId="0" fontId="12" fillId="68" borderId="57" xfId="0" applyFont="1" applyFill="1" applyBorder="1"/>
    <xf numFmtId="0" fontId="12" fillId="68" borderId="32" xfId="0" applyFont="1" applyFill="1" applyBorder="1"/>
    <xf numFmtId="0" fontId="12" fillId="68" borderId="58" xfId="0" applyFont="1" applyFill="1" applyBorder="1"/>
    <xf numFmtId="0" fontId="12" fillId="68" borderId="60" xfId="0" applyFont="1" applyFill="1" applyBorder="1"/>
    <xf numFmtId="0" fontId="12" fillId="68" borderId="61" xfId="0" applyFont="1" applyFill="1" applyBorder="1"/>
    <xf numFmtId="175" fontId="6" fillId="0" borderId="30" xfId="222" applyNumberFormat="1" applyFont="1" applyBorder="1"/>
    <xf numFmtId="176" fontId="6" fillId="0" borderId="14" xfId="219" applyNumberFormat="1" applyFont="1" applyBorder="1"/>
    <xf numFmtId="177" fontId="6" fillId="0" borderId="30" xfId="219" applyNumberFormat="1" applyFont="1" applyBorder="1"/>
    <xf numFmtId="176" fontId="6" fillId="0" borderId="17" xfId="219" applyNumberFormat="1" applyFont="1" applyBorder="1"/>
    <xf numFmtId="177" fontId="6" fillId="0" borderId="26" xfId="219" applyNumberFormat="1" applyFont="1" applyBorder="1"/>
    <xf numFmtId="175" fontId="6" fillId="0" borderId="26" xfId="222" applyNumberFormat="1" applyFont="1" applyBorder="1"/>
    <xf numFmtId="0" fontId="55" fillId="0" borderId="0" xfId="0" applyFont="1"/>
    <xf numFmtId="166" fontId="56" fillId="0" borderId="0" xfId="0" applyNumberFormat="1" applyFont="1"/>
    <xf numFmtId="0" fontId="56" fillId="0" borderId="0" xfId="0" applyFont="1"/>
    <xf numFmtId="166" fontId="56" fillId="0" borderId="0" xfId="0" applyNumberFormat="1" applyFont="1" applyAlignment="1">
      <alignment horizontal="center"/>
    </xf>
    <xf numFmtId="0" fontId="56" fillId="0" borderId="0" xfId="0" applyFont="1" applyAlignment="1">
      <alignment horizontal="center"/>
    </xf>
    <xf numFmtId="0" fontId="57" fillId="0" borderId="0" xfId="0" applyFont="1" applyAlignment="1">
      <alignment horizontal="left"/>
    </xf>
    <xf numFmtId="0" fontId="57" fillId="0" borderId="0" xfId="0" applyFont="1" applyAlignment="1">
      <alignment horizontal="center"/>
    </xf>
    <xf numFmtId="166" fontId="57" fillId="0" borderId="0" xfId="0" applyNumberFormat="1" applyFont="1"/>
    <xf numFmtId="168" fontId="56" fillId="0" borderId="0" xfId="0" applyNumberFormat="1" applyFont="1"/>
    <xf numFmtId="0" fontId="6" fillId="0" borderId="75" xfId="0" applyFont="1" applyBorder="1"/>
    <xf numFmtId="0" fontId="6" fillId="0" borderId="76" xfId="0" applyFont="1" applyBorder="1"/>
    <xf numFmtId="168" fontId="8" fillId="0" borderId="76" xfId="0" applyNumberFormat="1" applyFont="1" applyBorder="1"/>
    <xf numFmtId="0" fontId="6" fillId="0" borderId="77" xfId="0" applyFont="1" applyBorder="1"/>
    <xf numFmtId="0" fontId="6" fillId="0" borderId="78" xfId="0" applyFont="1" applyBorder="1"/>
    <xf numFmtId="0" fontId="6" fillId="0" borderId="79" xfId="0" applyFont="1" applyBorder="1"/>
    <xf numFmtId="0" fontId="6" fillId="0" borderId="17" xfId="0" applyFont="1" applyBorder="1" applyAlignment="1">
      <alignment horizontal="left" indent="2"/>
    </xf>
    <xf numFmtId="0" fontId="6" fillId="0" borderId="81" xfId="0" applyFont="1" applyBorder="1" applyAlignment="1">
      <alignment horizontal="center"/>
    </xf>
    <xf numFmtId="0" fontId="6" fillId="0" borderId="80" xfId="0" applyFont="1" applyBorder="1" applyAlignment="1">
      <alignment horizontal="center"/>
    </xf>
    <xf numFmtId="0" fontId="12" fillId="2" borderId="82" xfId="0" applyFont="1" applyFill="1" applyBorder="1"/>
    <xf numFmtId="0" fontId="6" fillId="0" borderId="83" xfId="0" applyFont="1" applyBorder="1"/>
    <xf numFmtId="0" fontId="6" fillId="0" borderId="84" xfId="0" applyFont="1" applyBorder="1"/>
    <xf numFmtId="0" fontId="12" fillId="2" borderId="7" xfId="0" applyFont="1" applyFill="1" applyBorder="1" applyAlignment="1">
      <alignment horizontal="left" indent="2"/>
    </xf>
    <xf numFmtId="0" fontId="6" fillId="4" borderId="23" xfId="0" applyFont="1" applyFill="1" applyBorder="1"/>
    <xf numFmtId="0" fontId="12" fillId="4" borderId="31" xfId="0" applyFont="1" applyFill="1" applyBorder="1"/>
    <xf numFmtId="0" fontId="6" fillId="4" borderId="31" xfId="0" applyFont="1" applyFill="1" applyBorder="1"/>
    <xf numFmtId="0" fontId="6" fillId="4" borderId="24" xfId="0" applyFont="1" applyFill="1" applyBorder="1"/>
    <xf numFmtId="0" fontId="12" fillId="2" borderId="8" xfId="0" applyFont="1" applyFill="1" applyBorder="1" applyAlignment="1">
      <alignment horizontal="center"/>
    </xf>
    <xf numFmtId="0" fontId="12" fillId="2" borderId="8" xfId="0" applyFont="1" applyFill="1" applyBorder="1"/>
    <xf numFmtId="0" fontId="12" fillId="2" borderId="9" xfId="0" applyFont="1" applyFill="1" applyBorder="1"/>
    <xf numFmtId="0" fontId="6" fillId="4" borderId="59" xfId="0" applyFont="1" applyFill="1" applyBorder="1"/>
    <xf numFmtId="0" fontId="12" fillId="69" borderId="28" xfId="0" applyFont="1" applyFill="1" applyBorder="1"/>
    <xf numFmtId="0" fontId="12" fillId="69" borderId="27" xfId="0" applyFont="1" applyFill="1" applyBorder="1"/>
    <xf numFmtId="0" fontId="12" fillId="69" borderId="56" xfId="0" applyFont="1" applyFill="1" applyBorder="1"/>
    <xf numFmtId="166" fontId="12" fillId="69" borderId="27" xfId="0" applyNumberFormat="1" applyFont="1" applyFill="1" applyBorder="1"/>
    <xf numFmtId="168" fontId="12" fillId="69" borderId="27" xfId="0" applyNumberFormat="1" applyFont="1" applyFill="1" applyBorder="1"/>
    <xf numFmtId="172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58" fillId="0" borderId="0" xfId="0" applyFont="1"/>
    <xf numFmtId="0" fontId="59" fillId="0" borderId="0" xfId="0" applyFont="1"/>
    <xf numFmtId="168" fontId="60" fillId="0" borderId="0" xfId="0" applyNumberFormat="1" applyFont="1"/>
    <xf numFmtId="165" fontId="55" fillId="0" borderId="0" xfId="0" applyNumberFormat="1" applyFont="1"/>
    <xf numFmtId="0" fontId="55" fillId="0" borderId="1" xfId="0" applyFont="1" applyBorder="1"/>
    <xf numFmtId="0" fontId="55" fillId="0" borderId="2" xfId="0" applyFont="1" applyBorder="1"/>
    <xf numFmtId="168" fontId="60" fillId="0" borderId="2" xfId="0" applyNumberFormat="1" applyFont="1" applyBorder="1"/>
    <xf numFmtId="165" fontId="55" fillId="0" borderId="2" xfId="0" applyNumberFormat="1" applyFont="1" applyBorder="1"/>
    <xf numFmtId="0" fontId="55" fillId="0" borderId="3" xfId="0" applyFont="1" applyBorder="1"/>
    <xf numFmtId="0" fontId="55" fillId="0" borderId="4" xfId="0" applyFont="1" applyBorder="1"/>
    <xf numFmtId="0" fontId="55" fillId="0" borderId="5" xfId="0" applyFont="1" applyBorder="1"/>
    <xf numFmtId="0" fontId="55" fillId="0" borderId="22" xfId="0" applyFont="1" applyBorder="1"/>
    <xf numFmtId="0" fontId="55" fillId="0" borderId="74" xfId="0" applyFont="1" applyBorder="1"/>
    <xf numFmtId="0" fontId="55" fillId="0" borderId="11" xfId="0" applyFont="1" applyBorder="1"/>
    <xf numFmtId="0" fontId="55" fillId="0" borderId="12" xfId="0" applyFont="1" applyBorder="1"/>
    <xf numFmtId="168" fontId="60" fillId="0" borderId="12" xfId="0" applyNumberFormat="1" applyFont="1" applyBorder="1"/>
    <xf numFmtId="0" fontId="55" fillId="0" borderId="31" xfId="0" applyFont="1" applyBorder="1"/>
    <xf numFmtId="168" fontId="60" fillId="0" borderId="24" xfId="0" applyNumberFormat="1" applyFont="1" applyBorder="1"/>
    <xf numFmtId="0" fontId="55" fillId="0" borderId="66" xfId="0" applyFont="1" applyBorder="1"/>
    <xf numFmtId="165" fontId="55" fillId="0" borderId="67" xfId="0" applyNumberFormat="1" applyFont="1" applyBorder="1"/>
    <xf numFmtId="0" fontId="55" fillId="0" borderId="67" xfId="0" applyFont="1" applyBorder="1"/>
    <xf numFmtId="165" fontId="55" fillId="0" borderId="12" xfId="0" applyNumberFormat="1" applyFont="1" applyBorder="1"/>
    <xf numFmtId="0" fontId="55" fillId="0" borderId="13" xfId="0" applyFont="1" applyBorder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55" fillId="0" borderId="0" xfId="0" applyFont="1" applyAlignment="1">
      <alignment vertical="center"/>
    </xf>
    <xf numFmtId="0" fontId="55" fillId="0" borderId="0" xfId="0" applyFont="1" applyAlignment="1">
      <alignment horizontal="right" vertical="center"/>
    </xf>
    <xf numFmtId="0" fontId="55" fillId="0" borderId="0" xfId="0" applyFont="1" applyAlignment="1">
      <alignment horizontal="center" vertical="center"/>
    </xf>
    <xf numFmtId="0" fontId="60" fillId="70" borderId="0" xfId="0" applyFont="1" applyFill="1" applyAlignment="1">
      <alignment vertical="center"/>
    </xf>
    <xf numFmtId="0" fontId="55" fillId="70" borderId="0" xfId="0" applyFont="1" applyFill="1" applyAlignment="1">
      <alignment vertical="center"/>
    </xf>
    <xf numFmtId="9" fontId="64" fillId="71" borderId="0" xfId="219" applyFont="1" applyFill="1"/>
    <xf numFmtId="175" fontId="64" fillId="0" borderId="0" xfId="222" applyNumberFormat="1" applyFont="1"/>
    <xf numFmtId="0" fontId="6" fillId="71" borderId="0" xfId="0" applyFont="1" applyFill="1"/>
    <xf numFmtId="0" fontId="55" fillId="73" borderId="0" xfId="0" applyFont="1" applyFill="1" applyAlignment="1">
      <alignment vertical="center"/>
    </xf>
    <xf numFmtId="0" fontId="60" fillId="73" borderId="86" xfId="0" applyFont="1" applyFill="1" applyBorder="1" applyAlignment="1">
      <alignment horizontal="center" vertical="center"/>
    </xf>
    <xf numFmtId="0" fontId="55" fillId="0" borderId="0" xfId="0" applyFont="1" applyAlignment="1">
      <alignment horizontal="right"/>
    </xf>
    <xf numFmtId="0" fontId="60" fillId="70" borderId="0" xfId="0" applyFont="1" applyFill="1" applyAlignment="1">
      <alignment horizontal="right" vertical="center" indent="1"/>
    </xf>
    <xf numFmtId="0" fontId="64" fillId="70" borderId="0" xfId="0" applyFont="1" applyFill="1"/>
    <xf numFmtId="0" fontId="64" fillId="70" borderId="0" xfId="0" applyFont="1" applyFill="1" applyAlignment="1">
      <alignment horizontal="center"/>
    </xf>
    <xf numFmtId="175" fontId="64" fillId="0" borderId="0" xfId="0" applyNumberFormat="1" applyFont="1"/>
    <xf numFmtId="175" fontId="67" fillId="0" borderId="0" xfId="222" applyNumberFormat="1" applyFont="1"/>
    <xf numFmtId="0" fontId="55" fillId="74" borderId="0" xfId="0" applyFont="1" applyFill="1" applyAlignment="1">
      <alignment vertical="center"/>
    </xf>
    <xf numFmtId="0" fontId="6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4" fillId="75" borderId="0" xfId="0" applyFont="1" applyFill="1"/>
    <xf numFmtId="0" fontId="64" fillId="72" borderId="0" xfId="0" applyFont="1" applyFill="1"/>
    <xf numFmtId="0" fontId="6" fillId="73" borderId="0" xfId="0" applyFont="1" applyFill="1"/>
    <xf numFmtId="0" fontId="64" fillId="73" borderId="0" xfId="0" applyFont="1" applyFill="1"/>
    <xf numFmtId="0" fontId="65" fillId="0" borderId="0" xfId="0" applyFont="1"/>
    <xf numFmtId="0" fontId="65" fillId="0" borderId="0" xfId="0" applyFont="1" applyAlignment="1">
      <alignment horizontal="center"/>
    </xf>
    <xf numFmtId="0" fontId="65" fillId="72" borderId="0" xfId="0" applyFont="1" applyFill="1"/>
    <xf numFmtId="0" fontId="65" fillId="75" borderId="0" xfId="0" applyFont="1" applyFill="1"/>
    <xf numFmtId="0" fontId="65" fillId="70" borderId="0" xfId="0" applyFont="1" applyFill="1"/>
    <xf numFmtId="0" fontId="66" fillId="75" borderId="0" xfId="0" applyFont="1" applyFill="1"/>
    <xf numFmtId="0" fontId="67" fillId="75" borderId="0" xfId="0" applyFont="1" applyFill="1"/>
    <xf numFmtId="0" fontId="66" fillId="70" borderId="0" xfId="0" applyFont="1" applyFill="1"/>
    <xf numFmtId="0" fontId="67" fillId="70" borderId="0" xfId="0" applyFont="1" applyFill="1"/>
    <xf numFmtId="0" fontId="65" fillId="75" borderId="85" xfId="0" applyFont="1" applyFill="1" applyBorder="1"/>
    <xf numFmtId="0" fontId="65" fillId="70" borderId="85" xfId="0" applyFont="1" applyFill="1" applyBorder="1"/>
    <xf numFmtId="2" fontId="64" fillId="0" borderId="0" xfId="0" applyNumberFormat="1" applyFont="1"/>
    <xf numFmtId="0" fontId="65" fillId="76" borderId="0" xfId="0" applyFont="1" applyFill="1"/>
    <xf numFmtId="0" fontId="64" fillId="76" borderId="0" xfId="0" applyFont="1" applyFill="1"/>
    <xf numFmtId="0" fontId="60" fillId="71" borderId="0" xfId="0" applyFont="1" applyFill="1" applyAlignment="1">
      <alignment horizontal="center"/>
    </xf>
    <xf numFmtId="0" fontId="6" fillId="71" borderId="0" xfId="0" applyFont="1" applyFill="1" applyAlignment="1">
      <alignment horizontal="center"/>
    </xf>
    <xf numFmtId="0" fontId="65" fillId="76" borderId="85" xfId="0" applyFont="1" applyFill="1" applyBorder="1"/>
    <xf numFmtId="0" fontId="59" fillId="0" borderId="0" xfId="0" applyFont="1" applyAlignment="1">
      <alignment vertical="center"/>
    </xf>
    <xf numFmtId="0" fontId="55" fillId="73" borderId="86" xfId="0" applyFont="1" applyFill="1" applyBorder="1" applyAlignment="1">
      <alignment horizontal="center" vertical="center"/>
    </xf>
    <xf numFmtId="0" fontId="55" fillId="74" borderId="14" xfId="0" applyFont="1" applyFill="1" applyBorder="1" applyAlignment="1">
      <alignment vertical="center"/>
    </xf>
    <xf numFmtId="0" fontId="55" fillId="74" borderId="15" xfId="0" applyFont="1" applyFill="1" applyBorder="1" applyAlignment="1">
      <alignment vertical="center"/>
    </xf>
    <xf numFmtId="0" fontId="55" fillId="74" borderId="16" xfId="0" applyFont="1" applyFill="1" applyBorder="1" applyAlignment="1">
      <alignment vertical="center"/>
    </xf>
    <xf numFmtId="0" fontId="55" fillId="74" borderId="17" xfId="0" applyFont="1" applyFill="1" applyBorder="1" applyAlignment="1">
      <alignment vertical="center"/>
    </xf>
    <xf numFmtId="0" fontId="55" fillId="74" borderId="18" xfId="0" applyFont="1" applyFill="1" applyBorder="1" applyAlignment="1">
      <alignment vertical="center"/>
    </xf>
    <xf numFmtId="0" fontId="55" fillId="74" borderId="19" xfId="0" applyFont="1" applyFill="1" applyBorder="1" applyAlignment="1">
      <alignment vertical="center"/>
    </xf>
    <xf numFmtId="0" fontId="55" fillId="74" borderId="20" xfId="0" applyFont="1" applyFill="1" applyBorder="1" applyAlignment="1">
      <alignment vertical="center"/>
    </xf>
    <xf numFmtId="0" fontId="55" fillId="74" borderId="21" xfId="0" applyFont="1" applyFill="1" applyBorder="1" applyAlignment="1">
      <alignment vertical="center"/>
    </xf>
    <xf numFmtId="0" fontId="55" fillId="74" borderId="16" xfId="0" applyFont="1" applyFill="1" applyBorder="1" applyAlignment="1">
      <alignment horizontal="right" vertical="center"/>
    </xf>
    <xf numFmtId="0" fontId="55" fillId="74" borderId="18" xfId="0" applyFont="1" applyFill="1" applyBorder="1" applyAlignment="1">
      <alignment horizontal="right" vertical="center"/>
    </xf>
    <xf numFmtId="0" fontId="55" fillId="74" borderId="21" xfId="0" applyFont="1" applyFill="1" applyBorder="1" applyAlignment="1">
      <alignment horizontal="right" vertical="center"/>
    </xf>
    <xf numFmtId="0" fontId="55" fillId="74" borderId="31" xfId="0" applyFont="1" applyFill="1" applyBorder="1" applyAlignment="1">
      <alignment vertical="center"/>
    </xf>
    <xf numFmtId="0" fontId="55" fillId="74" borderId="24" xfId="0" applyFont="1" applyFill="1" applyBorder="1" applyAlignment="1">
      <alignment vertical="center"/>
    </xf>
    <xf numFmtId="0" fontId="55" fillId="77" borderId="0" xfId="0" applyFont="1" applyFill="1"/>
    <xf numFmtId="0" fontId="55" fillId="0" borderId="0" xfId="0" applyFont="1" applyAlignment="1">
      <alignment horizontal="left" vertical="center" indent="1"/>
    </xf>
    <xf numFmtId="0" fontId="60" fillId="77" borderId="0" xfId="0" applyFont="1" applyFill="1" applyAlignment="1">
      <alignment horizontal="right" indent="1"/>
    </xf>
    <xf numFmtId="0" fontId="55" fillId="0" borderId="0" xfId="0" applyFont="1" applyAlignment="1">
      <alignment horizontal="right" vertical="center" indent="1"/>
    </xf>
    <xf numFmtId="0" fontId="60" fillId="77" borderId="0" xfId="0" applyFont="1" applyFill="1"/>
    <xf numFmtId="168" fontId="60" fillId="77" borderId="0" xfId="0" applyNumberFormat="1" applyFont="1" applyFill="1"/>
    <xf numFmtId="0" fontId="60" fillId="77" borderId="0" xfId="0" applyFont="1" applyFill="1" applyAlignment="1">
      <alignment horizontal="right" indent="2"/>
    </xf>
    <xf numFmtId="0" fontId="60" fillId="77" borderId="0" xfId="0" applyFont="1" applyFill="1" applyAlignment="1">
      <alignment horizontal="left"/>
    </xf>
    <xf numFmtId="0" fontId="60" fillId="77" borderId="0" xfId="0" applyFont="1" applyFill="1" applyAlignment="1">
      <alignment horizontal="center"/>
    </xf>
    <xf numFmtId="0" fontId="68" fillId="77" borderId="0" xfId="0" applyFont="1" applyFill="1" applyAlignment="1">
      <alignment horizontal="right" indent="1"/>
    </xf>
    <xf numFmtId="0" fontId="68" fillId="77" borderId="0" xfId="0" applyFont="1" applyFill="1" applyAlignment="1">
      <alignment horizontal="left"/>
    </xf>
    <xf numFmtId="0" fontId="68" fillId="77" borderId="0" xfId="0" applyFont="1" applyFill="1" applyAlignment="1">
      <alignment horizontal="right" indent="3"/>
    </xf>
    <xf numFmtId="0" fontId="68" fillId="77" borderId="0" xfId="0" applyFont="1" applyFill="1"/>
    <xf numFmtId="0" fontId="69" fillId="0" borderId="0" xfId="0" applyFont="1" applyAlignment="1">
      <alignment horizontal="left" vertical="center" indent="1"/>
    </xf>
    <xf numFmtId="0" fontId="69" fillId="0" borderId="0" xfId="0" applyFont="1" applyAlignment="1">
      <alignment vertical="center"/>
    </xf>
    <xf numFmtId="0" fontId="69" fillId="0" borderId="0" xfId="0" applyFont="1" applyAlignment="1">
      <alignment horizontal="right" vertical="center" indent="3"/>
    </xf>
    <xf numFmtId="0" fontId="69" fillId="0" borderId="0" xfId="0" applyFont="1" applyAlignment="1">
      <alignment horizontal="right" vertical="center"/>
    </xf>
    <xf numFmtId="0" fontId="64" fillId="0" borderId="0" xfId="0" applyFont="1" applyAlignment="1">
      <alignment horizontal="left"/>
    </xf>
    <xf numFmtId="165" fontId="55" fillId="77" borderId="0" xfId="0" applyNumberFormat="1" applyFont="1" applyFill="1"/>
    <xf numFmtId="0" fontId="60" fillId="0" borderId="0" xfId="0" applyFont="1" applyAlignment="1">
      <alignment horizontal="right" vertical="center" indent="2"/>
    </xf>
    <xf numFmtId="0" fontId="60" fillId="77" borderId="0" xfId="0" applyFont="1" applyFill="1" applyAlignment="1">
      <alignment horizontal="right" vertical="center" indent="2"/>
    </xf>
    <xf numFmtId="0" fontId="68" fillId="0" borderId="0" xfId="0" applyFont="1" applyAlignment="1">
      <alignment horizontal="right" indent="3"/>
    </xf>
    <xf numFmtId="0" fontId="68" fillId="0" borderId="0" xfId="0" applyFont="1" applyAlignment="1">
      <alignment horizontal="right"/>
    </xf>
    <xf numFmtId="0" fontId="68" fillId="0" borderId="0" xfId="0" applyFont="1"/>
    <xf numFmtId="0" fontId="68" fillId="73" borderId="86" xfId="0" applyFont="1" applyFill="1" applyBorder="1" applyAlignment="1">
      <alignment horizontal="center" vertical="center"/>
    </xf>
    <xf numFmtId="0" fontId="68" fillId="77" borderId="0" xfId="0" quotePrefix="1" applyFont="1" applyFill="1" applyAlignment="1">
      <alignment horizontal="center"/>
    </xf>
    <xf numFmtId="0" fontId="55" fillId="0" borderId="98" xfId="0" applyFont="1" applyBorder="1"/>
    <xf numFmtId="0" fontId="55" fillId="0" borderId="99" xfId="0" applyFont="1" applyBorder="1"/>
    <xf numFmtId="168" fontId="60" fillId="0" borderId="99" xfId="0" applyNumberFormat="1" applyFont="1" applyBorder="1"/>
    <xf numFmtId="165" fontId="55" fillId="0" borderId="99" xfId="0" applyNumberFormat="1" applyFont="1" applyBorder="1"/>
    <xf numFmtId="0" fontId="55" fillId="0" borderId="100" xfId="0" applyFont="1" applyBorder="1"/>
    <xf numFmtId="0" fontId="55" fillId="0" borderId="101" xfId="0" applyFont="1" applyBorder="1"/>
    <xf numFmtId="0" fontId="55" fillId="0" borderId="102" xfId="0" applyFont="1" applyBorder="1" applyAlignment="1">
      <alignment vertical="center"/>
    </xf>
    <xf numFmtId="0" fontId="55" fillId="0" borderId="102" xfId="0" applyFont="1" applyBorder="1" applyAlignment="1">
      <alignment horizontal="center" vertical="center"/>
    </xf>
    <xf numFmtId="0" fontId="55" fillId="0" borderId="103" xfId="0" applyFont="1" applyBorder="1"/>
    <xf numFmtId="0" fontId="12" fillId="69" borderId="27" xfId="0" applyFont="1" applyFill="1" applyBorder="1" applyAlignment="1">
      <alignment horizontal="center"/>
    </xf>
    <xf numFmtId="0" fontId="60" fillId="72" borderId="0" xfId="0" applyFont="1" applyFill="1" applyAlignment="1">
      <alignment horizontal="right" indent="1"/>
    </xf>
    <xf numFmtId="0" fontId="60" fillId="72" borderId="0" xfId="0" applyFont="1" applyFill="1"/>
    <xf numFmtId="0" fontId="60" fillId="72" borderId="0" xfId="0" applyFont="1" applyFill="1" applyAlignment="1">
      <alignment horizontal="right" indent="2"/>
    </xf>
    <xf numFmtId="175" fontId="60" fillId="73" borderId="86" xfId="222" applyNumberFormat="1" applyFont="1" applyFill="1" applyBorder="1" applyAlignment="1">
      <alignment horizontal="center" vertical="center"/>
    </xf>
    <xf numFmtId="165" fontId="55" fillId="72" borderId="0" xfId="0" applyNumberFormat="1" applyFont="1" applyFill="1"/>
    <xf numFmtId="0" fontId="55" fillId="72" borderId="0" xfId="0" applyFont="1" applyFill="1"/>
    <xf numFmtId="0" fontId="55" fillId="0" borderId="23" xfId="0" applyFont="1" applyBorder="1"/>
    <xf numFmtId="0" fontId="56" fillId="0" borderId="0" xfId="0" quotePrefix="1" applyFont="1"/>
    <xf numFmtId="0" fontId="6" fillId="0" borderId="98" xfId="0" applyFont="1" applyBorder="1"/>
    <xf numFmtId="0" fontId="6" fillId="0" borderId="99" xfId="0" applyFont="1" applyBorder="1"/>
    <xf numFmtId="0" fontId="6" fillId="0" borderId="100" xfId="0" applyFont="1" applyBorder="1"/>
    <xf numFmtId="0" fontId="6" fillId="0" borderId="101" xfId="0" applyFont="1" applyBorder="1"/>
    <xf numFmtId="0" fontId="6" fillId="0" borderId="102" xfId="0" applyFont="1" applyBorder="1"/>
    <xf numFmtId="0" fontId="6" fillId="0" borderId="103" xfId="0" applyFont="1" applyBorder="1"/>
    <xf numFmtId="0" fontId="12" fillId="5" borderId="25" xfId="0" applyFont="1" applyFill="1" applyBorder="1" applyAlignment="1">
      <alignment horizontal="center"/>
    </xf>
    <xf numFmtId="0" fontId="12" fillId="4" borderId="25" xfId="0" applyFont="1" applyFill="1" applyBorder="1" applyAlignment="1">
      <alignment horizontal="center"/>
    </xf>
    <xf numFmtId="0" fontId="12" fillId="4" borderId="25" xfId="0" applyFont="1" applyFill="1" applyBorder="1"/>
    <xf numFmtId="0" fontId="6" fillId="70" borderId="0" xfId="0" applyFont="1" applyFill="1" applyAlignment="1">
      <alignment horizontal="left" indent="1"/>
    </xf>
    <xf numFmtId="0" fontId="6" fillId="77" borderId="0" xfId="0" applyFont="1" applyFill="1" applyAlignment="1">
      <alignment horizontal="left" indent="1"/>
    </xf>
    <xf numFmtId="0" fontId="12" fillId="68" borderId="25" xfId="0" applyFont="1" applyFill="1" applyBorder="1" applyAlignment="1">
      <alignment horizontal="center"/>
    </xf>
    <xf numFmtId="0" fontId="6" fillId="68" borderId="0" xfId="0" applyFont="1" applyFill="1"/>
    <xf numFmtId="0" fontId="6" fillId="72" borderId="0" xfId="0" applyFont="1" applyFill="1" applyAlignment="1">
      <alignment horizontal="left" indent="1"/>
    </xf>
    <xf numFmtId="0" fontId="12" fillId="78" borderId="25" xfId="0" applyFont="1" applyFill="1" applyBorder="1" applyAlignment="1">
      <alignment horizontal="center"/>
    </xf>
    <xf numFmtId="0" fontId="6" fillId="71" borderId="0" xfId="0" applyFont="1" applyFill="1" applyAlignment="1">
      <alignment horizontal="left" indent="1"/>
    </xf>
    <xf numFmtId="0" fontId="12" fillId="79" borderId="25" xfId="0" applyFont="1" applyFill="1" applyBorder="1" applyAlignment="1">
      <alignment horizontal="center"/>
    </xf>
    <xf numFmtId="0" fontId="6" fillId="79" borderId="0" xfId="0" applyFont="1" applyFill="1"/>
    <xf numFmtId="0" fontId="6" fillId="80" borderId="0" xfId="0" applyFont="1" applyFill="1" applyAlignment="1">
      <alignment horizontal="left" indent="1"/>
    </xf>
    <xf numFmtId="0" fontId="6" fillId="0" borderId="25" xfId="0" applyFont="1" applyBorder="1"/>
    <xf numFmtId="0" fontId="72" fillId="0" borderId="0" xfId="0" applyFont="1"/>
    <xf numFmtId="165" fontId="72" fillId="0" borderId="17" xfId="0" applyNumberFormat="1" applyFont="1" applyBorder="1"/>
    <xf numFmtId="172" fontId="72" fillId="0" borderId="18" xfId="0" applyNumberFormat="1" applyFont="1" applyBorder="1"/>
    <xf numFmtId="165" fontId="72" fillId="0" borderId="26" xfId="0" applyNumberFormat="1" applyFont="1" applyBorder="1"/>
    <xf numFmtId="9" fontId="6" fillId="0" borderId="26" xfId="219" applyFont="1" applyBorder="1"/>
    <xf numFmtId="0" fontId="12" fillId="78" borderId="32" xfId="0" applyFont="1" applyFill="1" applyBorder="1"/>
    <xf numFmtId="0" fontId="12" fillId="78" borderId="31" xfId="0" applyFont="1" applyFill="1" applyBorder="1"/>
    <xf numFmtId="0" fontId="12" fillId="78" borderId="57" xfId="0" applyFont="1" applyFill="1" applyBorder="1"/>
    <xf numFmtId="0" fontId="12" fillId="78" borderId="58" xfId="0" applyFont="1" applyFill="1" applyBorder="1"/>
    <xf numFmtId="166" fontId="12" fillId="78" borderId="8" xfId="0" applyNumberFormat="1" applyFont="1" applyFill="1" applyBorder="1"/>
    <xf numFmtId="168" fontId="12" fillId="78" borderId="8" xfId="0" applyNumberFormat="1" applyFont="1" applyFill="1" applyBorder="1"/>
    <xf numFmtId="0" fontId="12" fillId="78" borderId="60" xfId="0" applyFont="1" applyFill="1" applyBorder="1"/>
    <xf numFmtId="0" fontId="12" fillId="78" borderId="61" xfId="0" applyFont="1" applyFill="1" applyBorder="1"/>
    <xf numFmtId="0" fontId="61" fillId="78" borderId="31" xfId="0" applyFont="1" applyFill="1" applyBorder="1"/>
    <xf numFmtId="0" fontId="12" fillId="78" borderId="62" xfId="0" applyFont="1" applyFill="1" applyBorder="1"/>
    <xf numFmtId="0" fontId="12" fillId="78" borderId="63" xfId="0" applyFont="1" applyFill="1" applyBorder="1"/>
    <xf numFmtId="0" fontId="12" fillId="78" borderId="64" xfId="0" applyFont="1" applyFill="1" applyBorder="1"/>
    <xf numFmtId="0" fontId="12" fillId="81" borderId="28" xfId="0" applyFont="1" applyFill="1" applyBorder="1"/>
    <xf numFmtId="0" fontId="12" fillId="81" borderId="27" xfId="0" applyFont="1" applyFill="1" applyBorder="1" applyAlignment="1">
      <alignment horizontal="center"/>
    </xf>
    <xf numFmtId="0" fontId="12" fillId="81" borderId="27" xfId="0" applyFont="1" applyFill="1" applyBorder="1"/>
    <xf numFmtId="0" fontId="12" fillId="81" borderId="56" xfId="0" applyFont="1" applyFill="1" applyBorder="1"/>
    <xf numFmtId="166" fontId="12" fillId="81" borderId="27" xfId="0" applyNumberFormat="1" applyFont="1" applyFill="1" applyBorder="1"/>
    <xf numFmtId="168" fontId="12" fillId="81" borderId="27" xfId="0" applyNumberFormat="1" applyFont="1" applyFill="1" applyBorder="1"/>
    <xf numFmtId="0" fontId="12" fillId="79" borderId="57" xfId="0" applyFont="1" applyFill="1" applyBorder="1"/>
    <xf numFmtId="0" fontId="12" fillId="79" borderId="32" xfId="0" applyFont="1" applyFill="1" applyBorder="1"/>
    <xf numFmtId="0" fontId="12" fillId="79" borderId="58" xfId="0" applyFont="1" applyFill="1" applyBorder="1"/>
    <xf numFmtId="166" fontId="12" fillId="79" borderId="8" xfId="0" applyNumberFormat="1" applyFont="1" applyFill="1" applyBorder="1"/>
    <xf numFmtId="168" fontId="12" fillId="79" borderId="8" xfId="0" applyNumberFormat="1" applyFont="1" applyFill="1" applyBorder="1"/>
    <xf numFmtId="168" fontId="8" fillId="0" borderId="104" xfId="0" applyNumberFormat="1" applyFont="1" applyBorder="1"/>
    <xf numFmtId="168" fontId="60" fillId="80" borderId="0" xfId="0" applyNumberFormat="1" applyFont="1" applyFill="1"/>
    <xf numFmtId="0" fontId="68" fillId="80" borderId="0" xfId="0" applyFont="1" applyFill="1" applyAlignment="1">
      <alignment horizontal="right" indent="3"/>
    </xf>
    <xf numFmtId="0" fontId="68" fillId="80" borderId="0" xfId="0" applyFont="1" applyFill="1" applyAlignment="1">
      <alignment horizontal="right" indent="1"/>
    </xf>
    <xf numFmtId="0" fontId="55" fillId="80" borderId="0" xfId="0" applyFont="1" applyFill="1"/>
    <xf numFmtId="0" fontId="68" fillId="80" borderId="0" xfId="0" applyFont="1" applyFill="1" applyAlignment="1">
      <alignment horizontal="right"/>
    </xf>
    <xf numFmtId="0" fontId="68" fillId="80" borderId="0" xfId="0" applyFont="1" applyFill="1"/>
    <xf numFmtId="165" fontId="55" fillId="80" borderId="0" xfId="0" applyNumberFormat="1" applyFont="1" applyFill="1"/>
    <xf numFmtId="0" fontId="65" fillId="83" borderId="0" xfId="0" applyFont="1" applyFill="1"/>
    <xf numFmtId="0" fontId="64" fillId="82" borderId="0" xfId="0" applyFont="1" applyFill="1"/>
    <xf numFmtId="44" fontId="60" fillId="73" borderId="86" xfId="223" applyFont="1" applyFill="1" applyBorder="1" applyAlignment="1">
      <alignment horizontal="center" vertical="center"/>
    </xf>
    <xf numFmtId="0" fontId="65" fillId="70" borderId="0" xfId="0" applyFont="1" applyFill="1" applyAlignment="1">
      <alignment horizontal="center"/>
    </xf>
    <xf numFmtId="0" fontId="55" fillId="74" borderId="23" xfId="0" applyFont="1" applyFill="1" applyBorder="1"/>
    <xf numFmtId="9" fontId="73" fillId="73" borderId="24" xfId="219" applyFont="1" applyFill="1" applyBorder="1" applyAlignment="1">
      <alignment vertical="center"/>
    </xf>
    <xf numFmtId="0" fontId="64" fillId="71" borderId="0" xfId="0" applyFont="1" applyFill="1"/>
    <xf numFmtId="0" fontId="6" fillId="71" borderId="0" xfId="0" applyFont="1" applyFill="1" applyAlignment="1">
      <alignment horizontal="right"/>
    </xf>
    <xf numFmtId="0" fontId="64" fillId="75" borderId="0" xfId="0" applyFont="1" applyFill="1" applyAlignment="1">
      <alignment horizontal="right"/>
    </xf>
    <xf numFmtId="164" fontId="64" fillId="75" borderId="0" xfId="222" applyFont="1" applyFill="1"/>
    <xf numFmtId="175" fontId="64" fillId="75" borderId="0" xfId="0" applyNumberFormat="1" applyFont="1" applyFill="1"/>
    <xf numFmtId="175" fontId="64" fillId="84" borderId="0" xfId="222" applyNumberFormat="1" applyFont="1" applyFill="1"/>
    <xf numFmtId="175" fontId="64" fillId="85" borderId="0" xfId="0" applyNumberFormat="1" applyFont="1" applyFill="1"/>
    <xf numFmtId="9" fontId="64" fillId="85" borderId="0" xfId="0" applyNumberFormat="1" applyFont="1" applyFill="1"/>
    <xf numFmtId="168" fontId="55" fillId="0" borderId="25" xfId="0" applyNumberFormat="1" applyFont="1" applyBorder="1"/>
    <xf numFmtId="0" fontId="75" fillId="0" borderId="0" xfId="0" applyFont="1"/>
    <xf numFmtId="0" fontId="75" fillId="0" borderId="99" xfId="0" applyFont="1" applyBorder="1"/>
    <xf numFmtId="0" fontId="75" fillId="0" borderId="102" xfId="0" applyFont="1" applyBorder="1"/>
    <xf numFmtId="0" fontId="75" fillId="0" borderId="2" xfId="0" applyFont="1" applyBorder="1"/>
    <xf numFmtId="0" fontId="75" fillId="0" borderId="12" xfId="0" applyFont="1" applyBorder="1"/>
    <xf numFmtId="165" fontId="75" fillId="0" borderId="2" xfId="0" applyNumberFormat="1" applyFont="1" applyBorder="1"/>
    <xf numFmtId="165" fontId="75" fillId="0" borderId="0" xfId="0" applyNumberFormat="1" applyFont="1"/>
    <xf numFmtId="165" fontId="75" fillId="0" borderId="12" xfId="0" applyNumberFormat="1" applyFont="1" applyBorder="1"/>
    <xf numFmtId="168" fontId="76" fillId="0" borderId="2" xfId="0" applyNumberFormat="1" applyFont="1" applyBorder="1"/>
    <xf numFmtId="168" fontId="76" fillId="0" borderId="12" xfId="0" applyNumberFormat="1" applyFont="1" applyBorder="1"/>
    <xf numFmtId="168" fontId="76" fillId="0" borderId="0" xfId="0" applyNumberFormat="1" applyFont="1"/>
    <xf numFmtId="164" fontId="75" fillId="0" borderId="0" xfId="222" applyFont="1"/>
    <xf numFmtId="44" fontId="6" fillId="0" borderId="0" xfId="0" applyNumberFormat="1" applyFont="1"/>
    <xf numFmtId="10" fontId="75" fillId="0" borderId="0" xfId="219" applyNumberFormat="1" applyFont="1"/>
    <xf numFmtId="164" fontId="6" fillId="4" borderId="0" xfId="222" applyFont="1" applyFill="1"/>
    <xf numFmtId="175" fontId="56" fillId="0" borderId="0" xfId="222" applyNumberFormat="1" applyFont="1"/>
    <xf numFmtId="9" fontId="6" fillId="77" borderId="0" xfId="219" applyFont="1" applyFill="1" applyAlignment="1">
      <alignment horizontal="left" indent="1"/>
    </xf>
    <xf numFmtId="164" fontId="6" fillId="5" borderId="0" xfId="222" applyFont="1" applyFill="1"/>
    <xf numFmtId="178" fontId="55" fillId="68" borderId="0" xfId="219" applyNumberFormat="1" applyFont="1" applyFill="1"/>
    <xf numFmtId="179" fontId="6" fillId="0" borderId="17" xfId="219" applyNumberFormat="1" applyFont="1" applyBorder="1"/>
    <xf numFmtId="9" fontId="6" fillId="70" borderId="0" xfId="219" applyFont="1" applyFill="1" applyAlignment="1">
      <alignment horizontal="left" indent="1"/>
    </xf>
    <xf numFmtId="10" fontId="55" fillId="79" borderId="0" xfId="219" applyNumberFormat="1" applyFont="1" applyFill="1"/>
    <xf numFmtId="164" fontId="77" fillId="0" borderId="0" xfId="222" applyFont="1"/>
    <xf numFmtId="0" fontId="75" fillId="0" borderId="76" xfId="0" applyFont="1" applyBorder="1"/>
    <xf numFmtId="165" fontId="6" fillId="0" borderId="105" xfId="0" applyNumberFormat="1" applyFont="1" applyBorder="1"/>
    <xf numFmtId="165" fontId="6" fillId="0" borderId="106" xfId="0" applyNumberFormat="1" applyFont="1" applyBorder="1"/>
    <xf numFmtId="0" fontId="75" fillId="0" borderId="79" xfId="0" applyFont="1" applyBorder="1"/>
    <xf numFmtId="168" fontId="8" fillId="0" borderId="79" xfId="0" applyNumberFormat="1" applyFont="1" applyBorder="1"/>
    <xf numFmtId="165" fontId="6" fillId="0" borderId="107" xfId="0" applyNumberFormat="1" applyFont="1" applyBorder="1"/>
    <xf numFmtId="10" fontId="6" fillId="78" borderId="0" xfId="219" applyNumberFormat="1" applyFont="1" applyFill="1"/>
    <xf numFmtId="0" fontId="64" fillId="86" borderId="0" xfId="0" applyFont="1" applyFill="1"/>
    <xf numFmtId="10" fontId="6" fillId="0" borderId="0" xfId="0" applyNumberFormat="1" applyFont="1"/>
    <xf numFmtId="0" fontId="6" fillId="0" borderId="25" xfId="0" applyFont="1" applyBorder="1" applyAlignment="1">
      <alignment horizontal="center" wrapText="1"/>
    </xf>
    <xf numFmtId="0" fontId="60" fillId="0" borderId="0" xfId="0" applyFont="1"/>
    <xf numFmtId="0" fontId="6" fillId="0" borderId="108" xfId="0" applyFont="1" applyBorder="1"/>
    <xf numFmtId="44" fontId="6" fillId="0" borderId="0" xfId="223" applyFont="1" applyAlignment="1">
      <alignment horizontal="right"/>
    </xf>
    <xf numFmtId="44" fontId="6" fillId="0" borderId="2" xfId="223" applyFont="1" applyBorder="1" applyAlignment="1">
      <alignment horizontal="right"/>
    </xf>
    <xf numFmtId="44" fontId="6" fillId="0" borderId="17" xfId="223" applyFont="1" applyBorder="1" applyAlignment="1">
      <alignment horizontal="right"/>
    </xf>
    <xf numFmtId="44" fontId="6" fillId="0" borderId="19" xfId="223" applyFont="1" applyBorder="1" applyAlignment="1">
      <alignment horizontal="right"/>
    </xf>
    <xf numFmtId="44" fontId="6" fillId="0" borderId="59" xfId="223" applyFont="1" applyBorder="1" applyAlignment="1">
      <alignment horizontal="right"/>
    </xf>
    <xf numFmtId="44" fontId="6" fillId="0" borderId="12" xfId="223" applyFont="1" applyBorder="1" applyAlignment="1">
      <alignment horizontal="right"/>
    </xf>
    <xf numFmtId="44" fontId="6" fillId="0" borderId="25" xfId="223" applyFont="1" applyBorder="1" applyAlignment="1">
      <alignment horizontal="right"/>
    </xf>
    <xf numFmtId="44" fontId="6" fillId="0" borderId="30" xfId="223" applyFont="1" applyBorder="1" applyAlignment="1">
      <alignment horizontal="right"/>
    </xf>
    <xf numFmtId="44" fontId="6" fillId="0" borderId="26" xfId="223" applyFont="1" applyBorder="1" applyAlignment="1">
      <alignment horizontal="right"/>
    </xf>
    <xf numFmtId="44" fontId="6" fillId="0" borderId="29" xfId="223" applyFont="1" applyBorder="1" applyAlignment="1">
      <alignment horizontal="right"/>
    </xf>
    <xf numFmtId="166" fontId="6" fillId="0" borderId="21" xfId="0" applyNumberFormat="1" applyFont="1" applyBorder="1"/>
    <xf numFmtId="168" fontId="6" fillId="0" borderId="109" xfId="0" applyNumberFormat="1" applyFont="1" applyBorder="1" applyAlignment="1">
      <alignment horizontal="left"/>
    </xf>
    <xf numFmtId="0" fontId="6" fillId="0" borderId="109" xfId="0" applyFont="1" applyBorder="1"/>
    <xf numFmtId="0" fontId="6" fillId="0" borderId="27" xfId="0" applyFont="1" applyBorder="1"/>
    <xf numFmtId="0" fontId="6" fillId="0" borderId="56" xfId="0" applyFont="1" applyBorder="1"/>
    <xf numFmtId="0" fontId="40" fillId="0" borderId="114" xfId="0" applyFont="1" applyBorder="1" applyAlignment="1">
      <alignment horizontal="center" vertical="center" wrapText="1"/>
    </xf>
    <xf numFmtId="0" fontId="78" fillId="0" borderId="115" xfId="0" applyFont="1" applyBorder="1" applyAlignment="1">
      <alignment horizontal="center" vertical="center" wrapText="1"/>
    </xf>
    <xf numFmtId="0" fontId="40" fillId="0" borderId="85" xfId="0" applyFont="1" applyBorder="1" applyAlignment="1">
      <alignment horizontal="center" vertical="center" wrapText="1"/>
    </xf>
    <xf numFmtId="44" fontId="40" fillId="0" borderId="114" xfId="223" applyFont="1" applyBorder="1" applyAlignment="1">
      <alignment horizontal="center" vertical="center" wrapText="1"/>
    </xf>
    <xf numFmtId="44" fontId="78" fillId="0" borderId="115" xfId="223" applyFont="1" applyBorder="1" applyAlignment="1">
      <alignment horizontal="center" vertical="center" wrapText="1"/>
    </xf>
    <xf numFmtId="44" fontId="78" fillId="0" borderId="113" xfId="223" applyFont="1" applyBorder="1" applyAlignment="1">
      <alignment horizontal="center" vertical="center" wrapText="1"/>
    </xf>
    <xf numFmtId="44" fontId="0" fillId="0" borderId="0" xfId="223" applyFont="1"/>
    <xf numFmtId="0" fontId="40" fillId="0" borderId="112" xfId="0" applyFont="1" applyBorder="1" applyAlignment="1">
      <alignment horizontal="center" vertical="center" wrapText="1"/>
    </xf>
    <xf numFmtId="44" fontId="40" fillId="0" borderId="115" xfId="0" applyNumberFormat="1" applyFont="1" applyBorder="1" applyAlignment="1">
      <alignment horizontal="center" vertical="center" wrapText="1"/>
    </xf>
    <xf numFmtId="44" fontId="0" fillId="0" borderId="0" xfId="0" applyNumberFormat="1"/>
    <xf numFmtId="44" fontId="78" fillId="0" borderId="115" xfId="223" applyFont="1" applyFill="1" applyBorder="1" applyAlignment="1">
      <alignment horizontal="center" vertical="center" wrapText="1"/>
    </xf>
    <xf numFmtId="0" fontId="40" fillId="0" borderId="112" xfId="0" applyFont="1" applyBorder="1" applyAlignment="1">
      <alignment horizontal="center" vertical="center" wrapText="1"/>
    </xf>
    <xf numFmtId="0" fontId="40" fillId="0" borderId="112" xfId="0" applyFont="1" applyBorder="1" applyAlignment="1">
      <alignment horizontal="center" vertical="center" wrapText="1"/>
    </xf>
    <xf numFmtId="0" fontId="40" fillId="0" borderId="119" xfId="0" applyFont="1" applyBorder="1" applyAlignment="1">
      <alignment horizontal="center" vertical="center" wrapText="1"/>
    </xf>
    <xf numFmtId="44" fontId="78" fillId="0" borderId="85" xfId="223" applyFont="1" applyBorder="1" applyAlignment="1">
      <alignment horizontal="center" vertical="center" wrapText="1"/>
    </xf>
    <xf numFmtId="44" fontId="40" fillId="0" borderId="85" xfId="0" applyNumberFormat="1" applyFont="1" applyBorder="1" applyAlignment="1">
      <alignment horizontal="center" vertical="center" wrapText="1"/>
    </xf>
    <xf numFmtId="0" fontId="78" fillId="0" borderId="85" xfId="0" applyFont="1" applyBorder="1" applyAlignment="1">
      <alignment vertical="center" wrapText="1"/>
    </xf>
    <xf numFmtId="0" fontId="78" fillId="0" borderId="85" xfId="0" applyFont="1" applyBorder="1" applyAlignment="1">
      <alignment horizontal="center" vertical="center" wrapText="1"/>
    </xf>
    <xf numFmtId="0" fontId="40" fillId="0" borderId="112" xfId="0" applyFont="1" applyBorder="1" applyAlignment="1">
      <alignment horizontal="center" vertical="center" wrapText="1"/>
    </xf>
    <xf numFmtId="44" fontId="0" fillId="0" borderId="0" xfId="223" applyFont="1" applyAlignment="1"/>
    <xf numFmtId="180" fontId="78" fillId="0" borderId="115" xfId="223" applyNumberFormat="1" applyFont="1" applyBorder="1" applyAlignment="1">
      <alignment horizontal="center" vertical="center" wrapText="1"/>
    </xf>
    <xf numFmtId="180" fontId="78" fillId="0" borderId="85" xfId="223" applyNumberFormat="1" applyFont="1" applyBorder="1" applyAlignment="1">
      <alignment horizontal="center" vertical="center" wrapText="1"/>
    </xf>
    <xf numFmtId="180" fontId="78" fillId="0" borderId="115" xfId="223" applyNumberFormat="1" applyFont="1" applyFill="1" applyBorder="1" applyAlignment="1">
      <alignment horizontal="center" vertical="center" wrapText="1"/>
    </xf>
    <xf numFmtId="2" fontId="78" fillId="0" borderId="85" xfId="0" applyNumberFormat="1" applyFont="1" applyBorder="1" applyAlignment="1">
      <alignment vertical="center" wrapText="1"/>
    </xf>
    <xf numFmtId="2" fontId="78" fillId="0" borderId="115" xfId="223" applyNumberFormat="1" applyFont="1" applyBorder="1" applyAlignment="1">
      <alignment horizontal="center" vertical="center" wrapText="1"/>
    </xf>
    <xf numFmtId="2" fontId="78" fillId="0" borderId="85" xfId="223" applyNumberFormat="1" applyFont="1" applyBorder="1" applyAlignment="1">
      <alignment horizontal="center" vertical="center" wrapText="1"/>
    </xf>
    <xf numFmtId="44" fontId="78" fillId="0" borderId="85" xfId="0" applyNumberFormat="1" applyFont="1" applyBorder="1" applyAlignment="1">
      <alignment vertical="center" wrapText="1"/>
    </xf>
    <xf numFmtId="0" fontId="40" fillId="0" borderId="112" xfId="0" applyFont="1" applyBorder="1" applyAlignment="1">
      <alignment horizontal="center" vertical="center" wrapText="1"/>
    </xf>
    <xf numFmtId="2" fontId="78" fillId="0" borderId="115" xfId="0" applyNumberFormat="1" applyFont="1" applyBorder="1" applyAlignment="1">
      <alignment vertical="center" wrapText="1"/>
    </xf>
    <xf numFmtId="0" fontId="78" fillId="0" borderId="115" xfId="0" applyFont="1" applyBorder="1" applyAlignment="1">
      <alignment vertical="center" wrapText="1"/>
    </xf>
    <xf numFmtId="0" fontId="40" fillId="0" borderId="116" xfId="0" applyFont="1" applyBorder="1" applyAlignment="1">
      <alignment horizontal="center" vertical="center" wrapText="1"/>
    </xf>
    <xf numFmtId="0" fontId="80" fillId="0" borderId="118" xfId="0" applyFont="1" applyBorder="1" applyAlignment="1">
      <alignment vertical="center" wrapText="1"/>
    </xf>
    <xf numFmtId="0" fontId="80" fillId="0" borderId="0" xfId="0" applyFont="1" applyAlignment="1">
      <alignment vertical="center" wrapText="1"/>
    </xf>
    <xf numFmtId="0" fontId="81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78" fillId="0" borderId="0" xfId="0" applyFont="1" applyBorder="1" applyAlignment="1">
      <alignment vertical="center" wrapText="1"/>
    </xf>
    <xf numFmtId="0" fontId="78" fillId="0" borderId="0" xfId="0" applyFont="1" applyBorder="1" applyAlignment="1">
      <alignment horizontal="right" vertical="center" wrapText="1"/>
    </xf>
    <xf numFmtId="2" fontId="78" fillId="0" borderId="0" xfId="0" applyNumberFormat="1" applyFont="1" applyBorder="1" applyAlignment="1">
      <alignment horizontal="center" vertical="center" wrapText="1"/>
    </xf>
    <xf numFmtId="44" fontId="78" fillId="0" borderId="0" xfId="0" applyNumberFormat="1" applyFont="1" applyBorder="1" applyAlignment="1">
      <alignment horizontal="center" vertical="center" wrapText="1"/>
    </xf>
    <xf numFmtId="44" fontId="78" fillId="0" borderId="117" xfId="0" applyNumberFormat="1" applyFont="1" applyBorder="1" applyAlignment="1">
      <alignment vertical="center" wrapText="1"/>
    </xf>
    <xf numFmtId="44" fontId="40" fillId="0" borderId="113" xfId="0" applyNumberFormat="1" applyFont="1" applyBorder="1" applyAlignment="1">
      <alignment horizontal="center" vertical="center" wrapText="1"/>
    </xf>
    <xf numFmtId="0" fontId="78" fillId="0" borderId="117" xfId="0" applyFont="1" applyBorder="1" applyAlignment="1">
      <alignment horizontal="left"/>
    </xf>
    <xf numFmtId="44" fontId="78" fillId="0" borderId="123" xfId="223" applyFont="1" applyBorder="1" applyAlignment="1">
      <alignment horizontal="center" vertical="center" wrapText="1"/>
    </xf>
    <xf numFmtId="180" fontId="78" fillId="0" borderId="123" xfId="223" applyNumberFormat="1" applyFont="1" applyBorder="1" applyAlignment="1">
      <alignment horizontal="center" vertical="center" wrapText="1"/>
    </xf>
    <xf numFmtId="44" fontId="40" fillId="0" borderId="123" xfId="0" applyNumberFormat="1" applyFont="1" applyBorder="1" applyAlignment="1">
      <alignment horizontal="center" vertical="center" wrapText="1"/>
    </xf>
    <xf numFmtId="0" fontId="75" fillId="0" borderId="23" xfId="0" applyFont="1" applyBorder="1" applyAlignment="1">
      <alignment horizontal="center"/>
    </xf>
    <xf numFmtId="0" fontId="75" fillId="0" borderId="31" xfId="0" applyFont="1" applyBorder="1" applyAlignment="1">
      <alignment horizontal="center"/>
    </xf>
    <xf numFmtId="0" fontId="75" fillId="0" borderId="24" xfId="0" applyFont="1" applyBorder="1" applyAlignment="1">
      <alignment horizontal="center"/>
    </xf>
    <xf numFmtId="0" fontId="60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2" fillId="67" borderId="0" xfId="0" applyFont="1" applyFill="1" applyAlignment="1">
      <alignment horizontal="center"/>
    </xf>
    <xf numFmtId="0" fontId="12" fillId="69" borderId="0" xfId="0" applyFont="1" applyFill="1" applyAlignment="1">
      <alignment horizontal="center"/>
    </xf>
    <xf numFmtId="0" fontId="12" fillId="81" borderId="0" xfId="0" applyFont="1" applyFill="1" applyAlignment="1">
      <alignment horizontal="center"/>
    </xf>
    <xf numFmtId="168" fontId="55" fillId="72" borderId="90" xfId="0" applyNumberFormat="1" applyFont="1" applyFill="1" applyBorder="1" applyAlignment="1">
      <alignment horizontal="left" vertical="top"/>
    </xf>
    <xf numFmtId="168" fontId="55" fillId="72" borderId="91" xfId="0" applyNumberFormat="1" applyFont="1" applyFill="1" applyBorder="1" applyAlignment="1">
      <alignment horizontal="left" vertical="top"/>
    </xf>
    <xf numFmtId="168" fontId="55" fillId="72" borderId="92" xfId="0" applyNumberFormat="1" applyFont="1" applyFill="1" applyBorder="1" applyAlignment="1">
      <alignment horizontal="left" vertical="top"/>
    </xf>
    <xf numFmtId="168" fontId="55" fillId="72" borderId="93" xfId="0" applyNumberFormat="1" applyFont="1" applyFill="1" applyBorder="1" applyAlignment="1">
      <alignment horizontal="left" vertical="top"/>
    </xf>
    <xf numFmtId="168" fontId="55" fillId="72" borderId="0" xfId="0" applyNumberFormat="1" applyFont="1" applyFill="1" applyAlignment="1">
      <alignment horizontal="left" vertical="top"/>
    </xf>
    <xf numFmtId="168" fontId="55" fillId="72" borderId="94" xfId="0" applyNumberFormat="1" applyFont="1" applyFill="1" applyBorder="1" applyAlignment="1">
      <alignment horizontal="left" vertical="top"/>
    </xf>
    <xf numFmtId="168" fontId="55" fillId="72" borderId="95" xfId="0" applyNumberFormat="1" applyFont="1" applyFill="1" applyBorder="1" applyAlignment="1">
      <alignment horizontal="left" vertical="top"/>
    </xf>
    <xf numFmtId="168" fontId="55" fillId="72" borderId="96" xfId="0" applyNumberFormat="1" applyFont="1" applyFill="1" applyBorder="1" applyAlignment="1">
      <alignment horizontal="left" vertical="top"/>
    </xf>
    <xf numFmtId="168" fontId="55" fillId="72" borderId="97" xfId="0" applyNumberFormat="1" applyFont="1" applyFill="1" applyBorder="1" applyAlignment="1">
      <alignment horizontal="left" vertical="top"/>
    </xf>
    <xf numFmtId="0" fontId="61" fillId="5" borderId="23" xfId="0" applyFont="1" applyFill="1" applyBorder="1" applyAlignment="1">
      <alignment horizontal="center"/>
    </xf>
    <xf numFmtId="0" fontId="61" fillId="5" borderId="31" xfId="0" applyFont="1" applyFill="1" applyBorder="1" applyAlignment="1">
      <alignment horizontal="center"/>
    </xf>
    <xf numFmtId="0" fontId="61" fillId="5" borderId="24" xfId="0" applyFont="1" applyFill="1" applyBorder="1" applyAlignment="1">
      <alignment horizontal="center"/>
    </xf>
    <xf numFmtId="168" fontId="55" fillId="77" borderId="90" xfId="0" applyNumberFormat="1" applyFont="1" applyFill="1" applyBorder="1" applyAlignment="1">
      <alignment horizontal="left" vertical="top"/>
    </xf>
    <xf numFmtId="168" fontId="55" fillId="77" borderId="91" xfId="0" applyNumberFormat="1" applyFont="1" applyFill="1" applyBorder="1" applyAlignment="1">
      <alignment horizontal="left" vertical="top"/>
    </xf>
    <xf numFmtId="168" fontId="55" fillId="77" borderId="92" xfId="0" applyNumberFormat="1" applyFont="1" applyFill="1" applyBorder="1" applyAlignment="1">
      <alignment horizontal="left" vertical="top"/>
    </xf>
    <xf numFmtId="168" fontId="55" fillId="77" borderId="93" xfId="0" applyNumberFormat="1" applyFont="1" applyFill="1" applyBorder="1" applyAlignment="1">
      <alignment horizontal="left" vertical="top"/>
    </xf>
    <xf numFmtId="168" fontId="55" fillId="77" borderId="0" xfId="0" applyNumberFormat="1" applyFont="1" applyFill="1" applyAlignment="1">
      <alignment horizontal="left" vertical="top"/>
    </xf>
    <xf numFmtId="168" fontId="55" fillId="77" borderId="94" xfId="0" applyNumberFormat="1" applyFont="1" applyFill="1" applyBorder="1" applyAlignment="1">
      <alignment horizontal="left" vertical="top"/>
    </xf>
    <xf numFmtId="168" fontId="55" fillId="77" borderId="95" xfId="0" applyNumberFormat="1" applyFont="1" applyFill="1" applyBorder="1" applyAlignment="1">
      <alignment horizontal="left" vertical="top"/>
    </xf>
    <xf numFmtId="168" fontId="55" fillId="77" borderId="96" xfId="0" applyNumberFormat="1" applyFont="1" applyFill="1" applyBorder="1" applyAlignment="1">
      <alignment horizontal="left" vertical="top"/>
    </xf>
    <xf numFmtId="168" fontId="55" fillId="77" borderId="97" xfId="0" applyNumberFormat="1" applyFont="1" applyFill="1" applyBorder="1" applyAlignment="1">
      <alignment horizontal="left" vertical="top"/>
    </xf>
    <xf numFmtId="0" fontId="61" fillId="68" borderId="31" xfId="0" applyFont="1" applyFill="1" applyBorder="1" applyAlignment="1">
      <alignment horizontal="center"/>
    </xf>
    <xf numFmtId="0" fontId="61" fillId="68" borderId="24" xfId="0" applyFont="1" applyFill="1" applyBorder="1" applyAlignment="1">
      <alignment horizontal="center"/>
    </xf>
    <xf numFmtId="0" fontId="61" fillId="67" borderId="87" xfId="0" applyFont="1" applyFill="1" applyBorder="1" applyAlignment="1">
      <alignment horizontal="center"/>
    </xf>
    <xf numFmtId="0" fontId="61" fillId="67" borderId="88" xfId="0" applyFont="1" applyFill="1" applyBorder="1" applyAlignment="1">
      <alignment horizontal="center"/>
    </xf>
    <xf numFmtId="0" fontId="61" fillId="67" borderId="89" xfId="0" applyFont="1" applyFill="1" applyBorder="1" applyAlignment="1">
      <alignment horizontal="center"/>
    </xf>
    <xf numFmtId="0" fontId="55" fillId="73" borderId="0" xfId="0" applyFont="1" applyFill="1" applyAlignment="1">
      <alignment horizontal="center" vertical="center"/>
    </xf>
    <xf numFmtId="0" fontId="61" fillId="2" borderId="0" xfId="0" applyFont="1" applyFill="1" applyAlignment="1">
      <alignment horizontal="center"/>
    </xf>
    <xf numFmtId="0" fontId="61" fillId="4" borderId="23" xfId="0" applyFont="1" applyFill="1" applyBorder="1" applyAlignment="1">
      <alignment horizontal="center"/>
    </xf>
    <xf numFmtId="0" fontId="61" fillId="4" borderId="31" xfId="0" applyFont="1" applyFill="1" applyBorder="1" applyAlignment="1">
      <alignment horizontal="center"/>
    </xf>
    <xf numFmtId="0" fontId="61" fillId="4" borderId="24" xfId="0" applyFont="1" applyFill="1" applyBorder="1" applyAlignment="1">
      <alignment horizontal="center"/>
    </xf>
    <xf numFmtId="0" fontId="60" fillId="70" borderId="0" xfId="0" applyFont="1" applyFill="1" applyAlignment="1">
      <alignment horizontal="center" vertical="center"/>
    </xf>
    <xf numFmtId="0" fontId="55" fillId="74" borderId="90" xfId="0" applyFont="1" applyFill="1" applyBorder="1" applyAlignment="1">
      <alignment horizontal="left" vertical="top" wrapText="1"/>
    </xf>
    <xf numFmtId="0" fontId="55" fillId="74" borderId="91" xfId="0" applyFont="1" applyFill="1" applyBorder="1" applyAlignment="1">
      <alignment horizontal="left" vertical="top" wrapText="1"/>
    </xf>
    <xf numFmtId="0" fontId="55" fillId="74" borderId="92" xfId="0" applyFont="1" applyFill="1" applyBorder="1" applyAlignment="1">
      <alignment horizontal="left" vertical="top" wrapText="1"/>
    </xf>
    <xf numFmtId="0" fontId="55" fillId="74" borderId="93" xfId="0" applyFont="1" applyFill="1" applyBorder="1" applyAlignment="1">
      <alignment horizontal="left" vertical="top" wrapText="1"/>
    </xf>
    <xf numFmtId="0" fontId="55" fillId="74" borderId="0" xfId="0" applyFont="1" applyFill="1" applyAlignment="1">
      <alignment horizontal="left" vertical="top" wrapText="1"/>
    </xf>
    <xf numFmtId="0" fontId="55" fillId="74" borderId="94" xfId="0" applyFont="1" applyFill="1" applyBorder="1" applyAlignment="1">
      <alignment horizontal="left" vertical="top" wrapText="1"/>
    </xf>
    <xf numFmtId="0" fontId="55" fillId="74" borderId="95" xfId="0" applyFont="1" applyFill="1" applyBorder="1" applyAlignment="1">
      <alignment horizontal="left" vertical="top" wrapText="1"/>
    </xf>
    <xf numFmtId="0" fontId="55" fillId="74" borderId="96" xfId="0" applyFont="1" applyFill="1" applyBorder="1" applyAlignment="1">
      <alignment horizontal="left" vertical="top" wrapText="1"/>
    </xf>
    <xf numFmtId="0" fontId="55" fillId="74" borderId="97" xfId="0" applyFont="1" applyFill="1" applyBorder="1" applyAlignment="1">
      <alignment horizontal="left" vertical="top" wrapText="1"/>
    </xf>
    <xf numFmtId="0" fontId="61" fillId="3" borderId="87" xfId="0" applyFont="1" applyFill="1" applyBorder="1" applyAlignment="1">
      <alignment horizontal="center"/>
    </xf>
    <xf numFmtId="0" fontId="61" fillId="3" borderId="88" xfId="0" applyFont="1" applyFill="1" applyBorder="1" applyAlignment="1">
      <alignment horizontal="center"/>
    </xf>
    <xf numFmtId="0" fontId="61" fillId="3" borderId="89" xfId="0" applyFont="1" applyFill="1" applyBorder="1" applyAlignment="1">
      <alignment horizontal="center"/>
    </xf>
    <xf numFmtId="0" fontId="61" fillId="81" borderId="87" xfId="0" applyFont="1" applyFill="1" applyBorder="1" applyAlignment="1">
      <alignment horizontal="center"/>
    </xf>
    <xf numFmtId="0" fontId="61" fillId="81" borderId="88" xfId="0" applyFont="1" applyFill="1" applyBorder="1" applyAlignment="1">
      <alignment horizontal="center"/>
    </xf>
    <xf numFmtId="0" fontId="61" fillId="81" borderId="89" xfId="0" applyFont="1" applyFill="1" applyBorder="1" applyAlignment="1">
      <alignment horizontal="center"/>
    </xf>
    <xf numFmtId="0" fontId="61" fillId="79" borderId="23" xfId="0" applyFont="1" applyFill="1" applyBorder="1" applyAlignment="1">
      <alignment horizontal="center"/>
    </xf>
    <xf numFmtId="0" fontId="61" fillId="79" borderId="31" xfId="0" applyFont="1" applyFill="1" applyBorder="1" applyAlignment="1">
      <alignment horizontal="center"/>
    </xf>
    <xf numFmtId="0" fontId="61" fillId="79" borderId="24" xfId="0" applyFont="1" applyFill="1" applyBorder="1" applyAlignment="1">
      <alignment horizontal="center"/>
    </xf>
    <xf numFmtId="168" fontId="55" fillId="80" borderId="90" xfId="0" applyNumberFormat="1" applyFont="1" applyFill="1" applyBorder="1" applyAlignment="1">
      <alignment horizontal="left" vertical="top"/>
    </xf>
    <xf numFmtId="168" fontId="55" fillId="80" borderId="91" xfId="0" applyNumberFormat="1" applyFont="1" applyFill="1" applyBorder="1" applyAlignment="1">
      <alignment horizontal="left" vertical="top"/>
    </xf>
    <xf numFmtId="168" fontId="55" fillId="80" borderId="92" xfId="0" applyNumberFormat="1" applyFont="1" applyFill="1" applyBorder="1" applyAlignment="1">
      <alignment horizontal="left" vertical="top"/>
    </xf>
    <xf numFmtId="168" fontId="55" fillId="80" borderId="93" xfId="0" applyNumberFormat="1" applyFont="1" applyFill="1" applyBorder="1" applyAlignment="1">
      <alignment horizontal="left" vertical="top"/>
    </xf>
    <xf numFmtId="168" fontId="55" fillId="80" borderId="0" xfId="0" applyNumberFormat="1" applyFont="1" applyFill="1" applyAlignment="1">
      <alignment horizontal="left" vertical="top"/>
    </xf>
    <xf numFmtId="168" fontId="55" fillId="80" borderId="94" xfId="0" applyNumberFormat="1" applyFont="1" applyFill="1" applyBorder="1" applyAlignment="1">
      <alignment horizontal="left" vertical="top"/>
    </xf>
    <xf numFmtId="168" fontId="55" fillId="80" borderId="95" xfId="0" applyNumberFormat="1" applyFont="1" applyFill="1" applyBorder="1" applyAlignment="1">
      <alignment horizontal="left" vertical="top"/>
    </xf>
    <xf numFmtId="168" fontId="55" fillId="80" borderId="96" xfId="0" applyNumberFormat="1" applyFont="1" applyFill="1" applyBorder="1" applyAlignment="1">
      <alignment horizontal="left" vertical="top"/>
    </xf>
    <xf numFmtId="168" fontId="55" fillId="80" borderId="97" xfId="0" applyNumberFormat="1" applyFont="1" applyFill="1" applyBorder="1" applyAlignment="1">
      <alignment horizontal="left" vertical="top"/>
    </xf>
    <xf numFmtId="0" fontId="0" fillId="0" borderId="0" xfId="0" applyAlignment="1">
      <alignment horizontal="center" wrapText="1"/>
    </xf>
    <xf numFmtId="0" fontId="78" fillId="0" borderId="117" xfId="0" applyFont="1" applyBorder="1" applyAlignment="1">
      <alignment horizontal="center"/>
    </xf>
    <xf numFmtId="0" fontId="81" fillId="0" borderId="0" xfId="0" applyFont="1" applyAlignment="1">
      <alignment horizontal="left" vertical="top" wrapText="1"/>
    </xf>
    <xf numFmtId="0" fontId="78" fillId="0" borderId="116" xfId="0" applyFont="1" applyBorder="1" applyAlignment="1">
      <alignment horizontal="left"/>
    </xf>
    <xf numFmtId="0" fontId="78" fillId="0" borderId="113" xfId="0" applyFont="1" applyBorder="1" applyAlignment="1">
      <alignment horizontal="left"/>
    </xf>
    <xf numFmtId="0" fontId="78" fillId="0" borderId="116" xfId="0" applyFont="1" applyBorder="1" applyAlignment="1">
      <alignment horizontal="left" vertical="center" wrapText="1"/>
    </xf>
    <xf numFmtId="0" fontId="78" fillId="0" borderId="113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right" vertical="center" wrapText="1"/>
    </xf>
    <xf numFmtId="0" fontId="78" fillId="0" borderId="116" xfId="0" applyFont="1" applyBorder="1" applyAlignment="1">
      <alignment vertical="center" wrapText="1"/>
    </xf>
    <xf numFmtId="0" fontId="78" fillId="0" borderId="113" xfId="0" applyFont="1" applyBorder="1" applyAlignment="1">
      <alignment vertical="center" wrapText="1"/>
    </xf>
    <xf numFmtId="0" fontId="24" fillId="0" borderId="0" xfId="0" applyFont="1" applyAlignment="1">
      <alignment horizontal="left" vertical="top"/>
    </xf>
    <xf numFmtId="0" fontId="78" fillId="0" borderId="116" xfId="0" applyFont="1" applyBorder="1" applyAlignment="1">
      <alignment horizontal="left" vertical="top" wrapText="1"/>
    </xf>
    <xf numFmtId="0" fontId="78" fillId="0" borderId="113" xfId="0" applyFont="1" applyBorder="1" applyAlignment="1">
      <alignment horizontal="left" vertical="top" wrapText="1"/>
    </xf>
    <xf numFmtId="0" fontId="78" fillId="0" borderId="117" xfId="0" applyFont="1" applyBorder="1" applyAlignment="1">
      <alignment vertical="center" wrapText="1"/>
    </xf>
    <xf numFmtId="0" fontId="40" fillId="0" borderId="110" xfId="0" applyFont="1" applyBorder="1" applyAlignment="1">
      <alignment horizontal="center" vertical="center" wrapText="1"/>
    </xf>
    <xf numFmtId="0" fontId="40" fillId="0" borderId="111" xfId="0" applyFont="1" applyBorder="1" applyAlignment="1">
      <alignment horizontal="center" vertical="center" wrapText="1"/>
    </xf>
    <xf numFmtId="0" fontId="40" fillId="0" borderId="112" xfId="0" applyFont="1" applyBorder="1" applyAlignment="1">
      <alignment horizontal="center" vertical="center" wrapText="1"/>
    </xf>
    <xf numFmtId="0" fontId="78" fillId="0" borderId="116" xfId="0" applyFont="1" applyFill="1" applyBorder="1" applyAlignment="1">
      <alignment horizontal="left" vertical="center" wrapText="1"/>
    </xf>
    <xf numFmtId="0" fontId="78" fillId="0" borderId="113" xfId="0" applyFont="1" applyFill="1" applyBorder="1" applyAlignment="1">
      <alignment horizontal="left" vertical="center" wrapText="1"/>
    </xf>
    <xf numFmtId="0" fontId="78" fillId="0" borderId="117" xfId="0" applyFont="1" applyBorder="1" applyAlignment="1">
      <alignment horizontal="left" vertical="center" wrapText="1"/>
    </xf>
    <xf numFmtId="44" fontId="40" fillId="0" borderId="110" xfId="223" applyFont="1" applyBorder="1" applyAlignment="1">
      <alignment horizontal="center" vertical="center" wrapText="1"/>
    </xf>
    <xf numFmtId="44" fontId="40" fillId="0" borderId="111" xfId="223" applyFont="1" applyBorder="1" applyAlignment="1">
      <alignment horizontal="center" vertical="center" wrapText="1"/>
    </xf>
    <xf numFmtId="0" fontId="78" fillId="0" borderId="116" xfId="0" applyFont="1" applyBorder="1" applyAlignment="1">
      <alignment horizontal="center" vertical="center" wrapText="1"/>
    </xf>
    <xf numFmtId="0" fontId="78" fillId="0" borderId="113" xfId="0" applyFont="1" applyBorder="1" applyAlignment="1">
      <alignment horizontal="center" vertical="center" wrapText="1"/>
    </xf>
    <xf numFmtId="0" fontId="40" fillId="0" borderId="121" xfId="0" applyFont="1" applyBorder="1" applyAlignment="1">
      <alignment horizontal="center" vertical="center" wrapText="1"/>
    </xf>
    <xf numFmtId="0" fontId="40" fillId="0" borderId="114" xfId="0" applyFont="1" applyBorder="1" applyAlignment="1">
      <alignment horizontal="center" vertical="center" wrapText="1"/>
    </xf>
    <xf numFmtId="0" fontId="40" fillId="0" borderId="122" xfId="0" applyFont="1" applyBorder="1" applyAlignment="1">
      <alignment horizontal="center" vertical="center" wrapText="1"/>
    </xf>
    <xf numFmtId="0" fontId="40" fillId="0" borderId="12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12" fillId="67" borderId="28" xfId="0" applyFont="1" applyFill="1" applyBorder="1" applyAlignment="1">
      <alignment horizontal="center"/>
    </xf>
    <xf numFmtId="0" fontId="12" fillId="67" borderId="27" xfId="0" applyFont="1" applyFill="1" applyBorder="1" applyAlignment="1">
      <alignment horizontal="center"/>
    </xf>
    <xf numFmtId="0" fontId="12" fillId="67" borderId="56" xfId="0" applyFont="1" applyFill="1" applyBorder="1" applyAlignment="1">
      <alignment horizontal="center"/>
    </xf>
    <xf numFmtId="0" fontId="12" fillId="68" borderId="57" xfId="0" applyFont="1" applyFill="1" applyBorder="1" applyAlignment="1">
      <alignment horizontal="left"/>
    </xf>
    <xf numFmtId="0" fontId="12" fillId="68" borderId="32" xfId="0" applyFont="1" applyFill="1" applyBorder="1" applyAlignment="1">
      <alignment horizontal="left"/>
    </xf>
    <xf numFmtId="0" fontId="12" fillId="68" borderId="58" xfId="0" applyFont="1" applyFill="1" applyBorder="1" applyAlignment="1">
      <alignment horizontal="left"/>
    </xf>
    <xf numFmtId="0" fontId="12" fillId="68" borderId="7" xfId="0" applyFont="1" applyFill="1" applyBorder="1" applyAlignment="1">
      <alignment horizontal="left"/>
    </xf>
    <xf numFmtId="0" fontId="12" fillId="68" borderId="8" xfId="0" applyFont="1" applyFill="1" applyBorder="1" applyAlignment="1">
      <alignment horizontal="left"/>
    </xf>
    <xf numFmtId="0" fontId="12" fillId="68" borderId="9" xfId="0" applyFont="1" applyFill="1" applyBorder="1" applyAlignment="1">
      <alignment horizontal="left"/>
    </xf>
    <xf numFmtId="0" fontId="12" fillId="78" borderId="7" xfId="0" applyFont="1" applyFill="1" applyBorder="1" applyAlignment="1">
      <alignment horizontal="left"/>
    </xf>
    <xf numFmtId="0" fontId="12" fillId="78" borderId="8" xfId="0" applyFont="1" applyFill="1" applyBorder="1" applyAlignment="1">
      <alignment horizontal="left"/>
    </xf>
    <xf numFmtId="0" fontId="12" fillId="78" borderId="9" xfId="0" applyFont="1" applyFill="1" applyBorder="1" applyAlignment="1">
      <alignment horizontal="left"/>
    </xf>
    <xf numFmtId="0" fontId="12" fillId="69" borderId="28" xfId="0" applyFont="1" applyFill="1" applyBorder="1" applyAlignment="1">
      <alignment horizontal="center"/>
    </xf>
    <xf numFmtId="0" fontId="12" fillId="69" borderId="27" xfId="0" applyFont="1" applyFill="1" applyBorder="1" applyAlignment="1">
      <alignment horizontal="center"/>
    </xf>
    <xf numFmtId="0" fontId="12" fillId="69" borderId="56" xfId="0" applyFont="1" applyFill="1" applyBorder="1" applyAlignment="1">
      <alignment horizontal="center"/>
    </xf>
    <xf numFmtId="0" fontId="12" fillId="78" borderId="57" xfId="0" applyFont="1" applyFill="1" applyBorder="1" applyAlignment="1">
      <alignment horizontal="left"/>
    </xf>
    <xf numFmtId="0" fontId="12" fillId="78" borderId="32" xfId="0" applyFont="1" applyFill="1" applyBorder="1" applyAlignment="1">
      <alignment horizontal="left"/>
    </xf>
    <xf numFmtId="0" fontId="12" fillId="78" borderId="58" xfId="0" applyFont="1" applyFill="1" applyBorder="1" applyAlignment="1">
      <alignment horizontal="left"/>
    </xf>
    <xf numFmtId="0" fontId="12" fillId="81" borderId="28" xfId="0" applyFont="1" applyFill="1" applyBorder="1" applyAlignment="1">
      <alignment horizontal="center"/>
    </xf>
    <xf numFmtId="0" fontId="12" fillId="81" borderId="27" xfId="0" applyFont="1" applyFill="1" applyBorder="1" applyAlignment="1">
      <alignment horizontal="center"/>
    </xf>
    <xf numFmtId="0" fontId="12" fillId="81" borderId="56" xfId="0" applyFont="1" applyFill="1" applyBorder="1" applyAlignment="1">
      <alignment horizontal="center"/>
    </xf>
    <xf numFmtId="0" fontId="12" fillId="79" borderId="57" xfId="0" applyFont="1" applyFill="1" applyBorder="1" applyAlignment="1">
      <alignment horizontal="left"/>
    </xf>
    <xf numFmtId="0" fontId="12" fillId="79" borderId="32" xfId="0" applyFont="1" applyFill="1" applyBorder="1" applyAlignment="1">
      <alignment horizontal="left"/>
    </xf>
    <xf numFmtId="0" fontId="12" fillId="79" borderId="58" xfId="0" applyFont="1" applyFill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81" fillId="0" borderId="0" xfId="0" applyFont="1" applyAlignment="1">
      <alignment horizontal="left" vertical="top" wrapText="1" indent="1"/>
    </xf>
  </cellXfs>
  <cellStyles count="226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1 - 20%" xfId="38"/>
    <cellStyle name="Accent1 - 40%" xfId="39"/>
    <cellStyle name="Accent1 - 60%" xfId="40"/>
    <cellStyle name="Accent2" xfId="41"/>
    <cellStyle name="Accent2 - 20%" xfId="42"/>
    <cellStyle name="Accent2 - 40%" xfId="43"/>
    <cellStyle name="Accent2 - 60%" xfId="44"/>
    <cellStyle name="Accent3" xfId="45"/>
    <cellStyle name="Accent3 - 20%" xfId="46"/>
    <cellStyle name="Accent3 - 40%" xfId="47"/>
    <cellStyle name="Accent3 - 60%" xfId="48"/>
    <cellStyle name="Accent4" xfId="49"/>
    <cellStyle name="Accent4 - 20%" xfId="50"/>
    <cellStyle name="Accent4 - 40%" xfId="51"/>
    <cellStyle name="Accent4 - 60%" xfId="52"/>
    <cellStyle name="Accent5" xfId="53"/>
    <cellStyle name="Accent5 - 20%" xfId="54"/>
    <cellStyle name="Accent5 - 40%" xfId="55"/>
    <cellStyle name="Accent5 - 60%" xfId="56"/>
    <cellStyle name="Accent6" xfId="57"/>
    <cellStyle name="Accent6 - 20%" xfId="58"/>
    <cellStyle name="Accent6 - 40%" xfId="59"/>
    <cellStyle name="Accent6 - 60%" xfId="60"/>
    <cellStyle name="Akcent 1 2" xfId="61"/>
    <cellStyle name="Akcent 2 2" xfId="62"/>
    <cellStyle name="Akcent 3 2" xfId="63"/>
    <cellStyle name="Akcent 4 2" xfId="64"/>
    <cellStyle name="Akcent 5 2" xfId="65"/>
    <cellStyle name="Akcent 6 2" xfId="66"/>
    <cellStyle name="Avertissement" xfId="67"/>
    <cellStyle name="Bad" xfId="68"/>
    <cellStyle name="Calcul" xfId="69"/>
    <cellStyle name="Calculation" xfId="70"/>
    <cellStyle name="Cellule liée" xfId="71"/>
    <cellStyle name="Check Cell" xfId="72"/>
    <cellStyle name="Commentaire" xfId="73"/>
    <cellStyle name="Dane wejściowe 2" xfId="74"/>
    <cellStyle name="Dane wyjściowe 2" xfId="75"/>
    <cellStyle name="Dobre 2" xfId="76"/>
    <cellStyle name="Dziesiętny" xfId="222" builtinId="3"/>
    <cellStyle name="Dziesiętny 10" xfId="77"/>
    <cellStyle name="Dziesiętny 11" xfId="78"/>
    <cellStyle name="Dziesiętny 2" xfId="79"/>
    <cellStyle name="Dziesiętny 2 2" xfId="80"/>
    <cellStyle name="Dziesiętny 2 3" xfId="81"/>
    <cellStyle name="Dziesiętny 2 4" xfId="82"/>
    <cellStyle name="Dziesiętny 3" xfId="83"/>
    <cellStyle name="Dziesiętny 4" xfId="84"/>
    <cellStyle name="Dziesiętny 4 2" xfId="85"/>
    <cellStyle name="Dziesiętny 5" xfId="86"/>
    <cellStyle name="Dziesiętny 5 2" xfId="87"/>
    <cellStyle name="Dziesiętny 6" xfId="88"/>
    <cellStyle name="Dziesiętny 6 2" xfId="89"/>
    <cellStyle name="Dziesiętny 7" xfId="90"/>
    <cellStyle name="Dziesiętny 7 2" xfId="91"/>
    <cellStyle name="Dziesiętny 8" xfId="92"/>
    <cellStyle name="Dziesiętny 9" xfId="93"/>
    <cellStyle name="Emphasis 1" xfId="94"/>
    <cellStyle name="Emphasis 2" xfId="95"/>
    <cellStyle name="Emphasis 3" xfId="96"/>
    <cellStyle name="Entrée" xfId="97"/>
    <cellStyle name="Euro" xfId="98"/>
    <cellStyle name="Explanatory Text" xfId="99"/>
    <cellStyle name="Good" xfId="100"/>
    <cellStyle name="Heading 1" xfId="101"/>
    <cellStyle name="Heading 2" xfId="102"/>
    <cellStyle name="Heading 3" xfId="103"/>
    <cellStyle name="Heading 4" xfId="104"/>
    <cellStyle name="Input" xfId="105"/>
    <cellStyle name="Insatisfaisant" xfId="106"/>
    <cellStyle name="Komórka połączona 2" xfId="107"/>
    <cellStyle name="Komórka zaznaczona 2" xfId="108"/>
    <cellStyle name="Linked Cell" xfId="109"/>
    <cellStyle name="Nagłówek 1 2" xfId="110"/>
    <cellStyle name="Nagłówek 2 2" xfId="111"/>
    <cellStyle name="Nagłówek 3 2" xfId="112"/>
    <cellStyle name="Nagłówek 4 2" xfId="113"/>
    <cellStyle name="Neutral" xfId="114"/>
    <cellStyle name="Neutralne 2" xfId="115"/>
    <cellStyle name="Neutre" xfId="116"/>
    <cellStyle name="Normal 2" xfId="117"/>
    <cellStyle name="Normalny" xfId="0" builtinId="0"/>
    <cellStyle name="Normalny 10" xfId="118"/>
    <cellStyle name="Normalny 10 2" xfId="220"/>
    <cellStyle name="Normalny 10 3" xfId="221"/>
    <cellStyle name="Normalny 11" xfId="119"/>
    <cellStyle name="Normalny 12" xfId="120"/>
    <cellStyle name="Normalny 13" xfId="121"/>
    <cellStyle name="Normalny 14" xfId="122"/>
    <cellStyle name="Normalny 15" xfId="224"/>
    <cellStyle name="Normalny 2" xfId="123"/>
    <cellStyle name="Normalny 2 2" xfId="124"/>
    <cellStyle name="Normalny 2 3" xfId="225"/>
    <cellStyle name="Normalny 2_Budget_2012_v20111211" xfId="125"/>
    <cellStyle name="Normalny 3" xfId="126"/>
    <cellStyle name="Normalny 3 2" xfId="127"/>
    <cellStyle name="Normalny 3 3" xfId="128"/>
    <cellStyle name="Normalny 4" xfId="129"/>
    <cellStyle name="Normalny 4 2" xfId="130"/>
    <cellStyle name="Normalny 4_Budget_2012_v20111211" xfId="131"/>
    <cellStyle name="Normalny 5" xfId="132"/>
    <cellStyle name="Normalny 5 2" xfId="133"/>
    <cellStyle name="Normalny 5 3" xfId="134"/>
    <cellStyle name="Normalny 5_Budget_2012_v20111211" xfId="135"/>
    <cellStyle name="Normalny 6" xfId="136"/>
    <cellStyle name="Normalny 6 2" xfId="137"/>
    <cellStyle name="Normalny 6_Budget_2012_v20111211" xfId="138"/>
    <cellStyle name="Normalny 7" xfId="139"/>
    <cellStyle name="Normalny 7 2" xfId="140"/>
    <cellStyle name="Normalny 7 3" xfId="141"/>
    <cellStyle name="Normalny 7_Budget_2012_v20111211" xfId="142"/>
    <cellStyle name="Normalny 8" xfId="143"/>
    <cellStyle name="Normalny 8 2" xfId="144"/>
    <cellStyle name="Normalny 8_Budget_2012_v20111211" xfId="145"/>
    <cellStyle name="Normalny 9" xfId="146"/>
    <cellStyle name="Note" xfId="147"/>
    <cellStyle name="Obliczenia 2" xfId="148"/>
    <cellStyle name="Output" xfId="149"/>
    <cellStyle name="Procentowy" xfId="219" builtinId="5"/>
    <cellStyle name="Procentowy 2" xfId="150"/>
    <cellStyle name="Procentowy 2 2" xfId="151"/>
    <cellStyle name="Procentowy 2 2 2" xfId="152"/>
    <cellStyle name="Procentowy 3" xfId="153"/>
    <cellStyle name="Procentowy 3 2" xfId="154"/>
    <cellStyle name="Procentowy 4" xfId="155"/>
    <cellStyle name="Procentowy 5" xfId="156"/>
    <cellStyle name="Procentowy 6" xfId="157"/>
    <cellStyle name="SAPBEXaggData" xfId="158"/>
    <cellStyle name="SAPBEXaggDataEmph" xfId="159"/>
    <cellStyle name="SAPBEXaggItem" xfId="160"/>
    <cellStyle name="SAPBEXaggItemX" xfId="161"/>
    <cellStyle name="SAPBEXchaText" xfId="162"/>
    <cellStyle name="SAPBEXexcBad7" xfId="163"/>
    <cellStyle name="SAPBEXexcBad8" xfId="164"/>
    <cellStyle name="SAPBEXexcBad9" xfId="165"/>
    <cellStyle name="SAPBEXexcCritical4" xfId="166"/>
    <cellStyle name="SAPBEXexcCritical5" xfId="167"/>
    <cellStyle name="SAPBEXexcCritical6" xfId="168"/>
    <cellStyle name="SAPBEXexcGood1" xfId="169"/>
    <cellStyle name="SAPBEXexcGood2" xfId="170"/>
    <cellStyle name="SAPBEXexcGood3" xfId="171"/>
    <cellStyle name="SAPBEXfilterDrill" xfId="172"/>
    <cellStyle name="SAPBEXfilterItem" xfId="173"/>
    <cellStyle name="SAPBEXfilterText" xfId="174"/>
    <cellStyle name="SAPBEXformats" xfId="175"/>
    <cellStyle name="SAPBEXheaderItem" xfId="176"/>
    <cellStyle name="SAPBEXheaderText" xfId="177"/>
    <cellStyle name="SAPBEXHLevel0" xfId="178"/>
    <cellStyle name="SAPBEXHLevel0X" xfId="179"/>
    <cellStyle name="SAPBEXHLevel1" xfId="180"/>
    <cellStyle name="SAPBEXHLevel1X" xfId="181"/>
    <cellStyle name="SAPBEXHLevel2" xfId="182"/>
    <cellStyle name="SAPBEXHLevel2X" xfId="183"/>
    <cellStyle name="SAPBEXHLevel3" xfId="184"/>
    <cellStyle name="SAPBEXHLevel3X" xfId="185"/>
    <cellStyle name="SAPBEXinputData" xfId="186"/>
    <cellStyle name="SAPBEXItemHeader" xfId="187"/>
    <cellStyle name="SAPBEXresData" xfId="188"/>
    <cellStyle name="SAPBEXresDataEmph" xfId="189"/>
    <cellStyle name="SAPBEXresItem" xfId="190"/>
    <cellStyle name="SAPBEXresItemX" xfId="191"/>
    <cellStyle name="SAPBEXstdData" xfId="192"/>
    <cellStyle name="SAPBEXstdDataEmph" xfId="193"/>
    <cellStyle name="SAPBEXstdItem" xfId="194"/>
    <cellStyle name="SAPBEXstdItemX" xfId="195"/>
    <cellStyle name="SAPBEXtitle" xfId="196"/>
    <cellStyle name="SAPBEXunassignedItem" xfId="197"/>
    <cellStyle name="SAPBEXundefined" xfId="198"/>
    <cellStyle name="Satisfaisant" xfId="199"/>
    <cellStyle name="Sheet Title" xfId="200"/>
    <cellStyle name="Sortie" xfId="201"/>
    <cellStyle name="Suma 2" xfId="202"/>
    <cellStyle name="Tekst ostrzeżenia 2" xfId="203"/>
    <cellStyle name="Texte explicatif" xfId="204"/>
    <cellStyle name="Title" xfId="205"/>
    <cellStyle name="Titre" xfId="206"/>
    <cellStyle name="Titre 1" xfId="207"/>
    <cellStyle name="Titre 2" xfId="208"/>
    <cellStyle name="Titre 3" xfId="209"/>
    <cellStyle name="Titre 4" xfId="210"/>
    <cellStyle name="Total" xfId="211"/>
    <cellStyle name="Uwaga 2" xfId="212"/>
    <cellStyle name="Vérification" xfId="213"/>
    <cellStyle name="Walutowy" xfId="223" builtinId="4"/>
    <cellStyle name="Walutowy 2" xfId="214"/>
    <cellStyle name="Walutowy 3" xfId="215"/>
    <cellStyle name="Walutowy 4" xfId="216"/>
    <cellStyle name="Warning Text" xfId="217"/>
    <cellStyle name="Złe 2" xfId="218"/>
  </cellStyles>
  <dxfs count="2">
    <dxf>
      <font>
        <color rgb="FF9C0006"/>
      </font>
      <fill>
        <patternFill>
          <bgColor rgb="FFFFC7CE"/>
        </patternFill>
      </fill>
    </dxf>
    <dxf>
      <font>
        <color theme="4" tint="0.79998168889431442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CCFF"/>
      <color rgb="FFFF66FF"/>
      <color rgb="FFD60093"/>
      <color rgb="FFEAF0F6"/>
      <color rgb="FFFFFFCC"/>
      <color rgb="FFF79B4F"/>
      <color rgb="FFF582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159699892818867E-2"/>
          <c:y val="1.9047619047619049E-2"/>
          <c:w val="0.90568060021436225"/>
          <c:h val="0.6850457717175596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setup!$F$7:$O$7</c:f>
              <c:numCache>
                <c:formatCode>General</c:formatCode>
                <c:ptCount val="10"/>
                <c:pt idx="0">
                  <c:v>50</c:v>
                </c:pt>
                <c:pt idx="1">
                  <c:v>70</c:v>
                </c:pt>
                <c:pt idx="2">
                  <c:v>90</c:v>
                </c:pt>
                <c:pt idx="3">
                  <c:v>110</c:v>
                </c:pt>
                <c:pt idx="4">
                  <c:v>130</c:v>
                </c:pt>
                <c:pt idx="5">
                  <c:v>150</c:v>
                </c:pt>
                <c:pt idx="6">
                  <c:v>170</c:v>
                </c:pt>
                <c:pt idx="7">
                  <c:v>190</c:v>
                </c:pt>
                <c:pt idx="8">
                  <c:v>210</c:v>
                </c:pt>
                <c:pt idx="9">
                  <c:v>230</c:v>
                </c:pt>
              </c:numCache>
            </c:numRef>
          </c:cat>
          <c:val>
            <c:numRef>
              <c:f>setup!$F$8:$O$8</c:f>
              <c:numCache>
                <c:formatCode>_-* #\ ##0\ _z_ł_-;\-* #\ ##0\ _z_ł_-;_-* "-"??\ _z_ł_-;_-@_-</c:formatCode>
                <c:ptCount val="1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12</c:v>
                </c:pt>
                <c:pt idx="4">
                  <c:v>10</c:v>
                </c:pt>
                <c:pt idx="5">
                  <c:v>9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64-4365-B949-7C94ACEFC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318451680"/>
        <c:axId val="379772112"/>
      </c:barChart>
      <c:catAx>
        <c:axId val="31845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9772112"/>
        <c:crosses val="autoZero"/>
        <c:auto val="1"/>
        <c:lblAlgn val="ctr"/>
        <c:lblOffset val="100"/>
        <c:noMultiLvlLbl val="0"/>
      </c:catAx>
      <c:valAx>
        <c:axId val="379772112"/>
        <c:scaling>
          <c:orientation val="minMax"/>
        </c:scaling>
        <c:delete val="1"/>
        <c:axPos val="l"/>
        <c:numFmt formatCode="_-* #\ ##0\ _z_ł_-;\-* #\ ##0\ _z_ł_-;_-* &quot;-&quot;??\ _z_ł_-;_-@_-" sourceLinked="1"/>
        <c:majorTickMark val="none"/>
        <c:minorTickMark val="none"/>
        <c:tickLblPos val="nextTo"/>
        <c:crossAx val="31845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738075095984903"/>
          <c:y val="9.3526690463772627E-2"/>
          <c:w val="0.62074757900807476"/>
          <c:h val="0.769934735243791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setup!$G$14:$I$14</c:f>
              <c:strCache>
                <c:ptCount val="3"/>
                <c:pt idx="0">
                  <c:v>S</c:v>
                </c:pt>
                <c:pt idx="1">
                  <c:v>M</c:v>
                </c:pt>
                <c:pt idx="2">
                  <c:v>L</c:v>
                </c:pt>
              </c:strCache>
            </c:strRef>
          </c:cat>
          <c:val>
            <c:numRef>
              <c:f>setup!$G$15:$I$15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2.9999999999999991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B-4667-916A-9900C8B94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37"/>
        <c:axId val="379772896"/>
        <c:axId val="379773288"/>
      </c:barChart>
      <c:catAx>
        <c:axId val="379772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9773288"/>
        <c:crosses val="autoZero"/>
        <c:auto val="1"/>
        <c:lblAlgn val="ctr"/>
        <c:lblOffset val="100"/>
        <c:noMultiLvlLbl val="0"/>
      </c:catAx>
      <c:valAx>
        <c:axId val="37977328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79772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2" fmlaLink="setup!$F$4" max="10" page="10" val="8"/>
</file>

<file path=xl/ctrlProps/ctrlProp10.xml><?xml version="1.0" encoding="utf-8"?>
<formControlPr xmlns="http://schemas.microsoft.com/office/spreadsheetml/2009/9/main" objectType="Spin" dx="22" fmlaLink="setup!$O$4" max="10" page="10" val="0"/>
</file>

<file path=xl/ctrlProps/ctrlProp11.xml><?xml version="1.0" encoding="utf-8"?>
<formControlPr xmlns="http://schemas.microsoft.com/office/spreadsheetml/2009/9/main" objectType="Scroll" dx="22" fmlaLink="setup!$F$15" horiz="1" max="20" min="1" page="10" val="12"/>
</file>

<file path=xl/ctrlProps/ctrlProp12.xml><?xml version="1.0" encoding="utf-8"?>
<formControlPr xmlns="http://schemas.microsoft.com/office/spreadsheetml/2009/9/main" objectType="CheckBox" fmlaLink="setup!$S$5" lockText="1" noThreeD="1"/>
</file>

<file path=xl/ctrlProps/ctrlProp13.xml><?xml version="1.0" encoding="utf-8"?>
<formControlPr xmlns="http://schemas.microsoft.com/office/spreadsheetml/2009/9/main" objectType="CheckBox" fmlaLink="setup!$S$11" lockText="1" noThreeD="1"/>
</file>

<file path=xl/ctrlProps/ctrlProp14.xml><?xml version="1.0" encoding="utf-8"?>
<formControlPr xmlns="http://schemas.microsoft.com/office/spreadsheetml/2009/9/main" objectType="Scroll" dx="22" fmlaLink="$H$32" horiz="1" max="5" page="10" val="5"/>
</file>

<file path=xl/ctrlProps/ctrlProp15.xml><?xml version="1.0" encoding="utf-8"?>
<formControlPr xmlns="http://schemas.microsoft.com/office/spreadsheetml/2009/9/main" objectType="CheckBox" checked="Checked" fmlaLink="setup!$S$4" lockText="1" noThreeD="1"/>
</file>

<file path=xl/ctrlProps/ctrlProp16.xml><?xml version="1.0" encoding="utf-8"?>
<formControlPr xmlns="http://schemas.microsoft.com/office/spreadsheetml/2009/9/main" objectType="CheckBox" checked="Checked" fmlaLink="setup!$S$10" lockText="1" noThreeD="1"/>
</file>

<file path=xl/ctrlProps/ctrlProp17.xml><?xml version="1.0" encoding="utf-8"?>
<formControlPr xmlns="http://schemas.microsoft.com/office/spreadsheetml/2009/9/main" objectType="CheckBox" checked="Checked" fmlaLink="setup!$S$6" lockText="1" noThreeD="1"/>
</file>

<file path=xl/ctrlProps/ctrlProp18.xml><?xml version="1.0" encoding="utf-8"?>
<formControlPr xmlns="http://schemas.microsoft.com/office/spreadsheetml/2009/9/main" objectType="CheckBox" fmlaLink="setup!$S$12" lockText="1" noThreeD="1"/>
</file>

<file path=xl/ctrlProps/ctrlProp19.xml><?xml version="1.0" encoding="utf-8"?>
<formControlPr xmlns="http://schemas.microsoft.com/office/spreadsheetml/2009/9/main" objectType="CheckBox" checked="Checked" fmlaLink="setup!$S$7" lockText="1" noThreeD="1"/>
</file>

<file path=xl/ctrlProps/ctrlProp2.xml><?xml version="1.0" encoding="utf-8"?>
<formControlPr xmlns="http://schemas.microsoft.com/office/spreadsheetml/2009/9/main" objectType="Spin" dx="22" fmlaLink="setup!$G$4" max="10" page="10" val="7"/>
</file>

<file path=xl/ctrlProps/ctrlProp20.xml><?xml version="1.0" encoding="utf-8"?>
<formControlPr xmlns="http://schemas.microsoft.com/office/spreadsheetml/2009/9/main" objectType="CheckBox" fmlaLink="setup!$S$13" lockText="1" noThreeD="1"/>
</file>

<file path=xl/ctrlProps/ctrlProp21.xml><?xml version="1.0" encoding="utf-8"?>
<formControlPr xmlns="http://schemas.microsoft.com/office/spreadsheetml/2009/9/main" objectType="CheckBox" fmlaLink="setup!$S$8" lockText="1" noThreeD="1"/>
</file>

<file path=xl/ctrlProps/ctrlProp22.xml><?xml version="1.0" encoding="utf-8"?>
<formControlPr xmlns="http://schemas.microsoft.com/office/spreadsheetml/2009/9/main" objectType="CheckBox" checked="Checked" fmlaLink="setup!$W$4" lockText="1" noThreeD="1"/>
</file>

<file path=xl/ctrlProps/ctrlProp23.xml><?xml version="1.0" encoding="utf-8"?>
<formControlPr xmlns="http://schemas.microsoft.com/office/spreadsheetml/2009/9/main" objectType="CheckBox" checked="Checked" fmlaLink="setup!$W$5" lockText="1" noThreeD="1"/>
</file>

<file path=xl/ctrlProps/ctrlProp24.xml><?xml version="1.0" encoding="utf-8"?>
<formControlPr xmlns="http://schemas.microsoft.com/office/spreadsheetml/2009/9/main" objectType="CheckBox" checked="Checked" fmlaLink="setup!$W$6" lockText="1" noThreeD="1"/>
</file>

<file path=xl/ctrlProps/ctrlProp25.xml><?xml version="1.0" encoding="utf-8"?>
<formControlPr xmlns="http://schemas.microsoft.com/office/spreadsheetml/2009/9/main" objectType="CheckBox" fmlaLink="setup!$W$7" lockText="1" noThreeD="1"/>
</file>

<file path=xl/ctrlProps/ctrlProp26.xml><?xml version="1.0" encoding="utf-8"?>
<formControlPr xmlns="http://schemas.microsoft.com/office/spreadsheetml/2009/9/main" objectType="CheckBox" fmlaLink="setup!$W$8" lockText="1" noThreeD="1"/>
</file>

<file path=xl/ctrlProps/ctrlProp27.xml><?xml version="1.0" encoding="utf-8"?>
<formControlPr xmlns="http://schemas.microsoft.com/office/spreadsheetml/2009/9/main" objectType="CheckBox" checked="Checked" fmlaLink="setup!$W$9" lockText="1" noThreeD="1"/>
</file>

<file path=xl/ctrlProps/ctrlProp28.xml><?xml version="1.0" encoding="utf-8"?>
<formControlPr xmlns="http://schemas.microsoft.com/office/spreadsheetml/2009/9/main" objectType="CheckBox" checked="Checked" fmlaLink="setup!$W$12" lockText="1" noThreeD="1"/>
</file>

<file path=xl/ctrlProps/ctrlProp29.xml><?xml version="1.0" encoding="utf-8"?>
<formControlPr xmlns="http://schemas.microsoft.com/office/spreadsheetml/2009/9/main" objectType="CheckBox" checked="Checked" fmlaLink="setup!$W$13" lockText="1" noThreeD="1"/>
</file>

<file path=xl/ctrlProps/ctrlProp3.xml><?xml version="1.0" encoding="utf-8"?>
<formControlPr xmlns="http://schemas.microsoft.com/office/spreadsheetml/2009/9/main" objectType="Spin" dx="22" fmlaLink="setup!$H$4" max="10" page="10" val="8"/>
</file>

<file path=xl/ctrlProps/ctrlProp30.xml><?xml version="1.0" encoding="utf-8"?>
<formControlPr xmlns="http://schemas.microsoft.com/office/spreadsheetml/2009/9/main" objectType="CheckBox" checked="Checked" fmlaLink="setup!$W$14" lockText="1" noThreeD="1"/>
</file>

<file path=xl/ctrlProps/ctrlProp31.xml><?xml version="1.0" encoding="utf-8"?>
<formControlPr xmlns="http://schemas.microsoft.com/office/spreadsheetml/2009/9/main" objectType="CheckBox" checked="Checked" fmlaLink="setup!$W$16" lockText="1" noThreeD="1"/>
</file>

<file path=xl/ctrlProps/ctrlProp32.xml><?xml version="1.0" encoding="utf-8"?>
<formControlPr xmlns="http://schemas.microsoft.com/office/spreadsheetml/2009/9/main" objectType="CheckBox" checked="Checked" fmlaLink="setup!$W$17" lockText="1" noThreeD="1"/>
</file>

<file path=xl/ctrlProps/ctrlProp33.xml><?xml version="1.0" encoding="utf-8"?>
<formControlPr xmlns="http://schemas.microsoft.com/office/spreadsheetml/2009/9/main" objectType="CheckBox" checked="Checked" fmlaLink="setup!$W$18" lockText="1" noThreeD="1"/>
</file>

<file path=xl/ctrlProps/ctrlProp34.xml><?xml version="1.0" encoding="utf-8"?>
<formControlPr xmlns="http://schemas.microsoft.com/office/spreadsheetml/2009/9/main" objectType="CheckBox" checked="Checked" fmlaLink="setup!$W$19" lockText="1" noThreeD="1"/>
</file>

<file path=xl/ctrlProps/ctrlProp35.xml><?xml version="1.0" encoding="utf-8"?>
<formControlPr xmlns="http://schemas.microsoft.com/office/spreadsheetml/2009/9/main" objectType="CheckBox" checked="Checked" fmlaLink="setup!$W$20" lockText="1" noThreeD="1"/>
</file>

<file path=xl/ctrlProps/ctrlProp36.xml><?xml version="1.0" encoding="utf-8"?>
<formControlPr xmlns="http://schemas.microsoft.com/office/spreadsheetml/2009/9/main" objectType="CheckBox" checked="Checked" fmlaLink="setup!$W$24" lockText="1" noThreeD="1"/>
</file>

<file path=xl/ctrlProps/ctrlProp37.xml><?xml version="1.0" encoding="utf-8"?>
<formControlPr xmlns="http://schemas.microsoft.com/office/spreadsheetml/2009/9/main" objectType="CheckBox" checked="Checked" fmlaLink="setup!$W$27" lockText="1" noThreeD="1"/>
</file>

<file path=xl/ctrlProps/ctrlProp38.xml><?xml version="1.0" encoding="utf-8"?>
<formControlPr xmlns="http://schemas.microsoft.com/office/spreadsheetml/2009/9/main" objectType="Scroll" dx="22" fmlaLink="setup!$V$29" horiz="1" max="100" page="10" val="45"/>
</file>

<file path=xl/ctrlProps/ctrlProp4.xml><?xml version="1.0" encoding="utf-8"?>
<formControlPr xmlns="http://schemas.microsoft.com/office/spreadsheetml/2009/9/main" objectType="Spin" dx="22" fmlaLink="setup!$I$4" max="10" page="10" val="8"/>
</file>

<file path=xl/ctrlProps/ctrlProp5.xml><?xml version="1.0" encoding="utf-8"?>
<formControlPr xmlns="http://schemas.microsoft.com/office/spreadsheetml/2009/9/main" objectType="Spin" dx="22" fmlaLink="setup!$J$4" max="10" page="10" val="7"/>
</file>

<file path=xl/ctrlProps/ctrlProp6.xml><?xml version="1.0" encoding="utf-8"?>
<formControlPr xmlns="http://schemas.microsoft.com/office/spreadsheetml/2009/9/main" objectType="Spin" dx="22" fmlaLink="setup!$K$4" max="10" page="10" val="6"/>
</file>

<file path=xl/ctrlProps/ctrlProp7.xml><?xml version="1.0" encoding="utf-8"?>
<formControlPr xmlns="http://schemas.microsoft.com/office/spreadsheetml/2009/9/main" objectType="Spin" dx="22" fmlaLink="setup!$L$4" max="10" page="10" val="3"/>
</file>

<file path=xl/ctrlProps/ctrlProp8.xml><?xml version="1.0" encoding="utf-8"?>
<formControlPr xmlns="http://schemas.microsoft.com/office/spreadsheetml/2009/9/main" objectType="Spin" dx="22" fmlaLink="setup!$M$4" max="10" page="10" val="3"/>
</file>

<file path=xl/ctrlProps/ctrlProp9.xml><?xml version="1.0" encoding="utf-8"?>
<formControlPr xmlns="http://schemas.microsoft.com/office/spreadsheetml/2009/9/main" objectType="Spin" dx="22" fmlaLink="setup!$N$4" max="10" page="10" val="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104776</xdr:colOff>
      <xdr:row>1</xdr:row>
      <xdr:rowOff>85725</xdr:rowOff>
    </xdr:from>
    <xdr:to>
      <xdr:col>15</xdr:col>
      <xdr:colOff>19051</xdr:colOff>
      <xdr:row>4</xdr:row>
      <xdr:rowOff>97953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6" y="247650"/>
          <a:ext cx="819150" cy="47895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1143000</xdr:colOff>
          <xdr:row>18</xdr:row>
          <xdr:rowOff>66675</xdr:rowOff>
        </xdr:from>
        <xdr:to>
          <xdr:col>6</xdr:col>
          <xdr:colOff>1285875</xdr:colOff>
          <xdr:row>20</xdr:row>
          <xdr:rowOff>114300</xdr:rowOff>
        </xdr:to>
        <xdr:sp macro="" textlink="">
          <xdr:nvSpPr>
            <xdr:cNvPr id="9220" name="Spinner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1381125</xdr:colOff>
          <xdr:row>18</xdr:row>
          <xdr:rowOff>66675</xdr:rowOff>
        </xdr:from>
        <xdr:to>
          <xdr:col>6</xdr:col>
          <xdr:colOff>1524000</xdr:colOff>
          <xdr:row>20</xdr:row>
          <xdr:rowOff>114300</xdr:rowOff>
        </xdr:to>
        <xdr:sp macro="" textlink="">
          <xdr:nvSpPr>
            <xdr:cNvPr id="9221" name="Spinner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1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</xdr:colOff>
          <xdr:row>18</xdr:row>
          <xdr:rowOff>66675</xdr:rowOff>
        </xdr:from>
        <xdr:to>
          <xdr:col>7</xdr:col>
          <xdr:colOff>161925</xdr:colOff>
          <xdr:row>20</xdr:row>
          <xdr:rowOff>114300</xdr:rowOff>
        </xdr:to>
        <xdr:sp macro="" textlink="">
          <xdr:nvSpPr>
            <xdr:cNvPr id="9222" name="Spinner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1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257175</xdr:colOff>
          <xdr:row>18</xdr:row>
          <xdr:rowOff>66675</xdr:rowOff>
        </xdr:from>
        <xdr:to>
          <xdr:col>7</xdr:col>
          <xdr:colOff>400050</xdr:colOff>
          <xdr:row>20</xdr:row>
          <xdr:rowOff>114300</xdr:rowOff>
        </xdr:to>
        <xdr:sp macro="" textlink="">
          <xdr:nvSpPr>
            <xdr:cNvPr id="9223" name="Spinner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1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504825</xdr:colOff>
          <xdr:row>18</xdr:row>
          <xdr:rowOff>66675</xdr:rowOff>
        </xdr:from>
        <xdr:to>
          <xdr:col>7</xdr:col>
          <xdr:colOff>647700</xdr:colOff>
          <xdr:row>20</xdr:row>
          <xdr:rowOff>114300</xdr:rowOff>
        </xdr:to>
        <xdr:sp macro="" textlink="">
          <xdr:nvSpPr>
            <xdr:cNvPr id="9225" name="Spinner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1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733425</xdr:colOff>
          <xdr:row>18</xdr:row>
          <xdr:rowOff>66675</xdr:rowOff>
        </xdr:from>
        <xdr:to>
          <xdr:col>7</xdr:col>
          <xdr:colOff>876300</xdr:colOff>
          <xdr:row>20</xdr:row>
          <xdr:rowOff>114300</xdr:rowOff>
        </xdr:to>
        <xdr:sp macro="" textlink="">
          <xdr:nvSpPr>
            <xdr:cNvPr id="9226" name="Spinner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1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981075</xdr:colOff>
          <xdr:row>18</xdr:row>
          <xdr:rowOff>66675</xdr:rowOff>
        </xdr:from>
        <xdr:to>
          <xdr:col>8</xdr:col>
          <xdr:colOff>123825</xdr:colOff>
          <xdr:row>20</xdr:row>
          <xdr:rowOff>114300</xdr:rowOff>
        </xdr:to>
        <xdr:sp macro="" textlink="">
          <xdr:nvSpPr>
            <xdr:cNvPr id="9227" name="Spinner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1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219075</xdr:colOff>
          <xdr:row>18</xdr:row>
          <xdr:rowOff>66675</xdr:rowOff>
        </xdr:from>
        <xdr:to>
          <xdr:col>8</xdr:col>
          <xdr:colOff>361950</xdr:colOff>
          <xdr:row>20</xdr:row>
          <xdr:rowOff>114300</xdr:rowOff>
        </xdr:to>
        <xdr:sp macro="" textlink="">
          <xdr:nvSpPr>
            <xdr:cNvPr id="9228" name="Spinner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1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466725</xdr:colOff>
          <xdr:row>18</xdr:row>
          <xdr:rowOff>66675</xdr:rowOff>
        </xdr:from>
        <xdr:to>
          <xdr:col>8</xdr:col>
          <xdr:colOff>609600</xdr:colOff>
          <xdr:row>20</xdr:row>
          <xdr:rowOff>114300</xdr:rowOff>
        </xdr:to>
        <xdr:sp macro="" textlink="">
          <xdr:nvSpPr>
            <xdr:cNvPr id="9229" name="Spinner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1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704850</xdr:colOff>
          <xdr:row>18</xdr:row>
          <xdr:rowOff>66675</xdr:rowOff>
        </xdr:from>
        <xdr:to>
          <xdr:col>8</xdr:col>
          <xdr:colOff>847725</xdr:colOff>
          <xdr:row>20</xdr:row>
          <xdr:rowOff>114300</xdr:rowOff>
        </xdr:to>
        <xdr:sp macro="" textlink="">
          <xdr:nvSpPr>
            <xdr:cNvPr id="9230" name="Spinner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1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971550</xdr:colOff>
      <xdr:row>12</xdr:row>
      <xdr:rowOff>57150</xdr:rowOff>
    </xdr:from>
    <xdr:to>
      <xdr:col>8</xdr:col>
      <xdr:colOff>1019175</xdr:colOff>
      <xdr:row>18</xdr:row>
      <xdr:rowOff>19050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17</xdr:row>
          <xdr:rowOff>66675</xdr:rowOff>
        </xdr:from>
        <xdr:to>
          <xdr:col>6</xdr:col>
          <xdr:colOff>876300</xdr:colOff>
          <xdr:row>18</xdr:row>
          <xdr:rowOff>123825</xdr:rowOff>
        </xdr:to>
        <xdr:sp macro="" textlink="">
          <xdr:nvSpPr>
            <xdr:cNvPr id="9231" name="Scroll Bar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1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  <xdr:twoCellAnchor>
    <xdr:from>
      <xdr:col>5</xdr:col>
      <xdr:colOff>85724</xdr:colOff>
      <xdr:row>12</xdr:row>
      <xdr:rowOff>123825</xdr:rowOff>
    </xdr:from>
    <xdr:to>
      <xdr:col>6</xdr:col>
      <xdr:colOff>1019175</xdr:colOff>
      <xdr:row>16</xdr:row>
      <xdr:rowOff>133350</xdr:rowOff>
    </xdr:to>
    <xdr:graphicFrame macro="">
      <xdr:nvGraphicFramePr>
        <xdr:cNvPr id="20" name="Wykres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962025</xdr:colOff>
          <xdr:row>34</xdr:row>
          <xdr:rowOff>57150</xdr:rowOff>
        </xdr:from>
        <xdr:to>
          <xdr:col>8</xdr:col>
          <xdr:colOff>381000</xdr:colOff>
          <xdr:row>36</xdr:row>
          <xdr:rowOff>19050</xdr:rowOff>
        </xdr:to>
        <xdr:sp macro="" textlink="">
          <xdr:nvSpPr>
            <xdr:cNvPr id="9234" name="Check Box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1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1133475</xdr:colOff>
          <xdr:row>48</xdr:row>
          <xdr:rowOff>66675</xdr:rowOff>
        </xdr:from>
        <xdr:to>
          <xdr:col>11</xdr:col>
          <xdr:colOff>152400</xdr:colOff>
          <xdr:row>50</xdr:row>
          <xdr:rowOff>28575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1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638175</xdr:colOff>
          <xdr:row>31</xdr:row>
          <xdr:rowOff>0</xdr:rowOff>
        </xdr:from>
        <xdr:to>
          <xdr:col>7</xdr:col>
          <xdr:colOff>952500</xdr:colOff>
          <xdr:row>32</xdr:row>
          <xdr:rowOff>0</xdr:rowOff>
        </xdr:to>
        <xdr:sp macro="" textlink="">
          <xdr:nvSpPr>
            <xdr:cNvPr id="9241" name="Scroll Bar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1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1343025</xdr:colOff>
          <xdr:row>46</xdr:row>
          <xdr:rowOff>57150</xdr:rowOff>
        </xdr:from>
        <xdr:to>
          <xdr:col>7</xdr:col>
          <xdr:colOff>152400</xdr:colOff>
          <xdr:row>48</xdr:row>
          <xdr:rowOff>19050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1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1133475</xdr:colOff>
          <xdr:row>46</xdr:row>
          <xdr:rowOff>66675</xdr:rowOff>
        </xdr:from>
        <xdr:to>
          <xdr:col>11</xdr:col>
          <xdr:colOff>152400</xdr:colOff>
          <xdr:row>48</xdr:row>
          <xdr:rowOff>28575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1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1343025</xdr:colOff>
          <xdr:row>34</xdr:row>
          <xdr:rowOff>57150</xdr:rowOff>
        </xdr:from>
        <xdr:to>
          <xdr:col>7</xdr:col>
          <xdr:colOff>152400</xdr:colOff>
          <xdr:row>36</xdr:row>
          <xdr:rowOff>19050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1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1466850</xdr:colOff>
          <xdr:row>46</xdr:row>
          <xdr:rowOff>66675</xdr:rowOff>
        </xdr:from>
        <xdr:to>
          <xdr:col>14</xdr:col>
          <xdr:colOff>419100</xdr:colOff>
          <xdr:row>48</xdr:row>
          <xdr:rowOff>28575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1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1333500</xdr:colOff>
          <xdr:row>48</xdr:row>
          <xdr:rowOff>57150</xdr:rowOff>
        </xdr:from>
        <xdr:to>
          <xdr:col>7</xdr:col>
          <xdr:colOff>142875</xdr:colOff>
          <xdr:row>50</xdr:row>
          <xdr:rowOff>19050</xdr:rowOff>
        </xdr:to>
        <xdr:sp macro="" textlink="">
          <xdr:nvSpPr>
            <xdr:cNvPr id="9246" name="Check Box 30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1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1466850</xdr:colOff>
          <xdr:row>48</xdr:row>
          <xdr:rowOff>66675</xdr:rowOff>
        </xdr:from>
        <xdr:to>
          <xdr:col>14</xdr:col>
          <xdr:colOff>419100</xdr:colOff>
          <xdr:row>50</xdr:row>
          <xdr:rowOff>28575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1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1343025</xdr:colOff>
          <xdr:row>48</xdr:row>
          <xdr:rowOff>57150</xdr:rowOff>
        </xdr:from>
        <xdr:to>
          <xdr:col>8</xdr:col>
          <xdr:colOff>419100</xdr:colOff>
          <xdr:row>50</xdr:row>
          <xdr:rowOff>19050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1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64</xdr:row>
          <xdr:rowOff>0</xdr:rowOff>
        </xdr:from>
        <xdr:to>
          <xdr:col>2</xdr:col>
          <xdr:colOff>495300</xdr:colOff>
          <xdr:row>65</xdr:row>
          <xdr:rowOff>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1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64</xdr:row>
          <xdr:rowOff>0</xdr:rowOff>
        </xdr:from>
        <xdr:to>
          <xdr:col>2</xdr:col>
          <xdr:colOff>933450</xdr:colOff>
          <xdr:row>65</xdr:row>
          <xdr:rowOff>0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1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64</xdr:row>
          <xdr:rowOff>9525</xdr:rowOff>
        </xdr:from>
        <xdr:to>
          <xdr:col>3</xdr:col>
          <xdr:colOff>276225</xdr:colOff>
          <xdr:row>65</xdr:row>
          <xdr:rowOff>0</xdr:rowOff>
        </xdr:to>
        <xdr:sp macro="" textlink="">
          <xdr:nvSpPr>
            <xdr:cNvPr id="9253" name="Check Box 37" hidden="1">
              <a:extLst>
                <a:ext uri="{63B3BB69-23CF-44E3-9099-C40C66FF867C}">
                  <a14:compatExt spid="_x0000_s9253"/>
                </a:ext>
                <a:ext uri="{FF2B5EF4-FFF2-40B4-BE49-F238E27FC236}">
                  <a16:creationId xmlns:a16="http://schemas.microsoft.com/office/drawing/2014/main" id="{00000000-0008-0000-0100-00002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 processing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64</xdr:row>
          <xdr:rowOff>0</xdr:rowOff>
        </xdr:from>
        <xdr:to>
          <xdr:col>4</xdr:col>
          <xdr:colOff>123825</xdr:colOff>
          <xdr:row>65</xdr:row>
          <xdr:rowOff>0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1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64</xdr:row>
          <xdr:rowOff>0</xdr:rowOff>
        </xdr:from>
        <xdr:to>
          <xdr:col>4</xdr:col>
          <xdr:colOff>962025</xdr:colOff>
          <xdr:row>65</xdr:row>
          <xdr:rowOff>0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1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Inv.checking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990600</xdr:colOff>
          <xdr:row>64</xdr:row>
          <xdr:rowOff>9525</xdr:rowOff>
        </xdr:from>
        <xdr:to>
          <xdr:col>4</xdr:col>
          <xdr:colOff>1876425</xdr:colOff>
          <xdr:row>65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1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Payement proc.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1381125</xdr:colOff>
          <xdr:row>61</xdr:row>
          <xdr:rowOff>57150</xdr:rowOff>
        </xdr:from>
        <xdr:to>
          <xdr:col>7</xdr:col>
          <xdr:colOff>190500</xdr:colOff>
          <xdr:row>63</xdr:row>
          <xdr:rowOff>19050</xdr:rowOff>
        </xdr:to>
        <xdr:sp macro="" textlink="">
          <xdr:nvSpPr>
            <xdr:cNvPr id="9258" name="Check Box 42" hidden="1">
              <a:extLst>
                <a:ext uri="{63B3BB69-23CF-44E3-9099-C40C66FF867C}">
                  <a14:compatExt spid="_x0000_s9258"/>
                </a:ext>
                <a:ext uri="{FF2B5EF4-FFF2-40B4-BE49-F238E27FC236}">
                  <a16:creationId xmlns:a16="http://schemas.microsoft.com/office/drawing/2014/main" id="{00000000-0008-0000-0100-00002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1381125</xdr:colOff>
          <xdr:row>63</xdr:row>
          <xdr:rowOff>66675</xdr:rowOff>
        </xdr:from>
        <xdr:to>
          <xdr:col>7</xdr:col>
          <xdr:colOff>190500</xdr:colOff>
          <xdr:row>65</xdr:row>
          <xdr:rowOff>28575</xdr:rowOff>
        </xdr:to>
        <xdr:sp macro="" textlink="">
          <xdr:nvSpPr>
            <xdr:cNvPr id="9259" name="Check Box 43" hidden="1">
              <a:extLst>
                <a:ext uri="{63B3BB69-23CF-44E3-9099-C40C66FF867C}">
                  <a14:compatExt spid="_x0000_s9259"/>
                </a:ext>
                <a:ext uri="{FF2B5EF4-FFF2-40B4-BE49-F238E27FC236}">
                  <a16:creationId xmlns:a16="http://schemas.microsoft.com/office/drawing/2014/main" id="{00000000-0008-0000-0100-00002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1381125</xdr:colOff>
          <xdr:row>65</xdr:row>
          <xdr:rowOff>57150</xdr:rowOff>
        </xdr:from>
        <xdr:to>
          <xdr:col>7</xdr:col>
          <xdr:colOff>190500</xdr:colOff>
          <xdr:row>67</xdr:row>
          <xdr:rowOff>19050</xdr:rowOff>
        </xdr:to>
        <xdr:sp macro="" textlink="">
          <xdr:nvSpPr>
            <xdr:cNvPr id="9260" name="Check Box 44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1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68</xdr:row>
          <xdr:rowOff>9525</xdr:rowOff>
        </xdr:from>
        <xdr:to>
          <xdr:col>10</xdr:col>
          <xdr:colOff>619125</xdr:colOff>
          <xdr:row>69</xdr:row>
          <xdr:rowOff>0</xdr:rowOff>
        </xdr:to>
        <xdr:sp macro="" textlink="">
          <xdr:nvSpPr>
            <xdr:cNvPr id="9261" name="Check Box 45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1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Invoices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581025</xdr:colOff>
          <xdr:row>68</xdr:row>
          <xdr:rowOff>9525</xdr:rowOff>
        </xdr:from>
        <xdr:to>
          <xdr:col>10</xdr:col>
          <xdr:colOff>1209675</xdr:colOff>
          <xdr:row>69</xdr:row>
          <xdr:rowOff>0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1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Inv. lines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1200150</xdr:colOff>
          <xdr:row>68</xdr:row>
          <xdr:rowOff>9525</xdr:rowOff>
        </xdr:from>
        <xdr:to>
          <xdr:col>12</xdr:col>
          <xdr:colOff>123825</xdr:colOff>
          <xdr:row>69</xdr:row>
          <xdr:rowOff>0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1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Printing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68</xdr:row>
          <xdr:rowOff>9525</xdr:rowOff>
        </xdr:from>
        <xdr:to>
          <xdr:col>14</xdr:col>
          <xdr:colOff>9525</xdr:colOff>
          <xdr:row>69</xdr:row>
          <xdr:rowOff>0</xdr:rowOff>
        </xdr:to>
        <xdr:sp macro="" textlink="">
          <xdr:nvSpPr>
            <xdr:cNvPr id="9264" name="Check Box 48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1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Admin of 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68</xdr:row>
          <xdr:rowOff>0</xdr:rowOff>
        </xdr:from>
        <xdr:to>
          <xdr:col>15</xdr:col>
          <xdr:colOff>190500</xdr:colOff>
          <xdr:row>69</xdr:row>
          <xdr:rowOff>0</xdr:rowOff>
        </xdr:to>
        <xdr:sp macro="" textlink="">
          <xdr:nvSpPr>
            <xdr:cNvPr id="9265" name="Check Box 49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1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Payem. monit.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19</xdr:row>
          <xdr:rowOff>85725</xdr:rowOff>
        </xdr:from>
        <xdr:to>
          <xdr:col>13</xdr:col>
          <xdr:colOff>190500</xdr:colOff>
          <xdr:row>20</xdr:row>
          <xdr:rowOff>342900</xdr:rowOff>
        </xdr:to>
        <xdr:sp macro="" textlink="">
          <xdr:nvSpPr>
            <xdr:cNvPr id="9266" name="Check Box 50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1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including PAR transport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19</xdr:row>
          <xdr:rowOff>76200</xdr:rowOff>
        </xdr:from>
        <xdr:to>
          <xdr:col>15</xdr:col>
          <xdr:colOff>161925</xdr:colOff>
          <xdr:row>20</xdr:row>
          <xdr:rowOff>333375</xdr:rowOff>
        </xdr:to>
        <xdr:sp macro="" textlink="">
          <xdr:nvSpPr>
            <xdr:cNvPr id="9267" name="Check Box 51" descr="including pallet transport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1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including PLL transport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20</xdr:row>
          <xdr:rowOff>28575</xdr:rowOff>
        </xdr:from>
        <xdr:to>
          <xdr:col>10</xdr:col>
          <xdr:colOff>1133475</xdr:colOff>
          <xdr:row>20</xdr:row>
          <xdr:rowOff>161925</xdr:rowOff>
        </xdr:to>
        <xdr:sp macro="" textlink="">
          <xdr:nvSpPr>
            <xdr:cNvPr id="9269" name="Scroll Bar 53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1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1</xdr:row>
      <xdr:rowOff>42333</xdr:rowOff>
    </xdr:from>
    <xdr:to>
      <xdr:col>2</xdr:col>
      <xdr:colOff>991335</xdr:colOff>
      <xdr:row>4</xdr:row>
      <xdr:rowOff>120599</xdr:rowOff>
    </xdr:to>
    <xdr:pic>
      <xdr:nvPicPr>
        <xdr:cNvPr id="3" name="Picture 2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833" y="201083"/>
          <a:ext cx="927835" cy="5333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44823</xdr:colOff>
      <xdr:row>1</xdr:row>
      <xdr:rowOff>33618</xdr:rowOff>
    </xdr:from>
    <xdr:to>
      <xdr:col>2</xdr:col>
      <xdr:colOff>950819</xdr:colOff>
      <xdr:row>4</xdr:row>
      <xdr:rowOff>138393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647" y="190500"/>
          <a:ext cx="905996" cy="57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338666</xdr:colOff>
      <xdr:row>1</xdr:row>
      <xdr:rowOff>21166</xdr:rowOff>
    </xdr:from>
    <xdr:to>
      <xdr:col>18</xdr:col>
      <xdr:colOff>217888</xdr:colOff>
      <xdr:row>4</xdr:row>
      <xdr:rowOff>138010</xdr:rowOff>
    </xdr:to>
    <xdr:pic>
      <xdr:nvPicPr>
        <xdr:cNvPr id="4" name="irc_ilrp_mut" descr="https://encrypted-tbn3.gstatic.com/images?q=tbn:ANd9GcRvdrTDHJvJNexEgSX64mBDuBzd5gmfrmzwqXyZVdyWVzuTpIvmED886bc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179916"/>
          <a:ext cx="1255056" cy="571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86846</xdr:colOff>
      <xdr:row>1</xdr:row>
      <xdr:rowOff>84605</xdr:rowOff>
    </xdr:from>
    <xdr:to>
      <xdr:col>5</xdr:col>
      <xdr:colOff>573181</xdr:colOff>
      <xdr:row>4</xdr:row>
      <xdr:rowOff>98807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871" y="246530"/>
          <a:ext cx="829235" cy="4809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1</xdr:row>
      <xdr:rowOff>66675</xdr:rowOff>
    </xdr:from>
    <xdr:to>
      <xdr:col>2</xdr:col>
      <xdr:colOff>1038225</xdr:colOff>
      <xdr:row>3</xdr:row>
      <xdr:rowOff>192741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228600"/>
          <a:ext cx="952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la\Desktop\Sales\Carlsberg\Symulacja%20Budzetowa%20Carlsbe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 Services"/>
      <sheetName val="Providers"/>
      <sheetName val="Quotation summary"/>
      <sheetName val="estymacje"/>
      <sheetName val="Quotation Logistics"/>
      <sheetName val="Quotation Supply"/>
      <sheetName val="Quotation Finance"/>
      <sheetName val="Quotation Sales"/>
      <sheetName val="01_QUOT_2014 v 1.0"/>
      <sheetName val="Arkusz1"/>
    </sheetNames>
    <sheetDataSet>
      <sheetData sheetId="0"/>
      <sheetData sheetId="1">
        <row r="74">
          <cell r="C74" t="str">
            <v>TEMPLATE: "QUOTE_D_0121"</v>
          </cell>
          <cell r="I74" t="str">
            <v>WRITTEN: DK</v>
          </cell>
          <cell r="K74" t="str">
            <v>LAST MODIF: 10/10/2014</v>
          </cell>
        </row>
      </sheetData>
      <sheetData sheetId="2">
        <row r="24">
          <cell r="Q24" t="str">
            <v>CONTRACT MANAGEMENT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F100"/>
  <sheetViews>
    <sheetView showGridLines="0" zoomScaleNormal="100" workbookViewId="0">
      <selection activeCell="C11" sqref="C11"/>
    </sheetView>
  </sheetViews>
  <sheetFormatPr defaultColWidth="9.140625" defaultRowHeight="12" outlineLevelRow="1"/>
  <cols>
    <col min="1" max="2" width="2.140625" style="18" customWidth="1"/>
    <col min="3" max="3" width="23.28515625" style="18" customWidth="1"/>
    <col min="4" max="4" width="2.140625" style="349" customWidth="1"/>
    <col min="5" max="5" width="10" style="18" customWidth="1"/>
    <col min="6" max="6" width="3.5703125" style="18" customWidth="1"/>
    <col min="7" max="7" width="23.28515625" style="18" customWidth="1"/>
    <col min="8" max="8" width="2.140625" style="349" customWidth="1"/>
    <col min="9" max="9" width="10" style="17" customWidth="1"/>
    <col min="10" max="10" width="3.5703125" style="18" customWidth="1"/>
    <col min="11" max="11" width="23.28515625" style="18" customWidth="1"/>
    <col min="12" max="12" width="2.140625" style="349" customWidth="1"/>
    <col min="13" max="13" width="10" style="18" customWidth="1"/>
    <col min="14" max="14" width="3.5703125" style="18" customWidth="1"/>
    <col min="15" max="15" width="10" style="18" customWidth="1"/>
    <col min="16" max="16" width="2.140625" style="7" customWidth="1"/>
    <col min="17" max="20" width="6.42578125" style="18" customWidth="1"/>
    <col min="21" max="21" width="6.42578125" style="17" customWidth="1"/>
    <col min="22" max="22" width="6.42578125" style="7" customWidth="1"/>
    <col min="23" max="24" width="6.42578125" style="18" customWidth="1"/>
    <col min="25" max="25" width="6.42578125" style="20" customWidth="1"/>
    <col min="26" max="26" width="12.7109375" style="20" bestFit="1" customWidth="1"/>
    <col min="27" max="35" width="12.7109375" style="18" bestFit="1" customWidth="1"/>
    <col min="36" max="16384" width="9.140625" style="18"/>
  </cols>
  <sheetData>
    <row r="1" spans="2:26" ht="12.75" thickBot="1"/>
    <row r="2" spans="2:26" ht="12.75" thickTop="1">
      <c r="B2" s="125"/>
      <c r="C2" s="126"/>
      <c r="D2" s="372"/>
      <c r="E2" s="126"/>
      <c r="F2" s="126"/>
      <c r="G2" s="126"/>
      <c r="H2" s="372"/>
      <c r="I2" s="127"/>
      <c r="J2" s="126"/>
      <c r="K2" s="126"/>
      <c r="L2" s="372"/>
      <c r="M2" s="126"/>
      <c r="N2" s="126"/>
      <c r="O2" s="126"/>
      <c r="P2" s="373"/>
    </row>
    <row r="3" spans="2:26">
      <c r="B3" s="128"/>
      <c r="C3" s="447" t="e">
        <f>"RESUME OF BUDGET SIMULATION No "&amp;#REF!</f>
        <v>#REF!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P3" s="374"/>
    </row>
    <row r="4" spans="2:26">
      <c r="B4" s="128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P4" s="374"/>
    </row>
    <row r="5" spans="2:26" ht="12.75" thickBot="1">
      <c r="B5" s="129"/>
      <c r="C5" s="130"/>
      <c r="D5" s="375"/>
      <c r="E5" s="130"/>
      <c r="F5" s="130"/>
      <c r="G5" s="130"/>
      <c r="H5" s="375"/>
      <c r="I5" s="376"/>
      <c r="J5" s="130"/>
      <c r="K5" s="130"/>
      <c r="L5" s="375"/>
      <c r="M5" s="130"/>
      <c r="N5" s="130"/>
      <c r="O5" s="130"/>
      <c r="P5" s="377"/>
    </row>
    <row r="6" spans="2:26" ht="13.5" thickTop="1" thickBot="1">
      <c r="B6" s="25"/>
      <c r="I6" s="18"/>
      <c r="P6" s="95"/>
      <c r="U6" s="18"/>
      <c r="V6" s="18"/>
      <c r="Y6" s="18"/>
      <c r="Z6" s="18"/>
    </row>
    <row r="7" spans="2:26" ht="13.5" thickTop="1" thickBot="1">
      <c r="B7" s="25"/>
      <c r="C7" s="448" t="s">
        <v>27</v>
      </c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17"/>
      <c r="O7" s="326" t="e">
        <f>E9+I9+M9</f>
        <v>#REF!</v>
      </c>
      <c r="P7" s="95"/>
      <c r="U7" s="18"/>
      <c r="V7" s="18"/>
      <c r="Y7" s="18"/>
      <c r="Z7" s="18"/>
    </row>
    <row r="8" spans="2:26" ht="12.75" thickTop="1">
      <c r="B8" s="25"/>
      <c r="I8" s="18"/>
      <c r="P8" s="95"/>
      <c r="U8" s="18"/>
      <c r="V8" s="18"/>
      <c r="Y8" s="18"/>
      <c r="Z8" s="18"/>
    </row>
    <row r="9" spans="2:26">
      <c r="B9" s="25"/>
      <c r="C9" s="285" t="s">
        <v>385</v>
      </c>
      <c r="E9" s="348" t="e">
        <f>#REF!+#REF!</f>
        <v>#REF!</v>
      </c>
      <c r="G9" s="286" t="s">
        <v>386</v>
      </c>
      <c r="I9" s="348" t="e">
        <f>#REF!</f>
        <v>#REF!</v>
      </c>
      <c r="K9" s="286" t="s">
        <v>387</v>
      </c>
      <c r="M9" s="348" t="e">
        <f>#REF!+#REF!+#REF!</f>
        <v>#REF!</v>
      </c>
      <c r="N9" s="17"/>
      <c r="O9" s="17"/>
      <c r="P9" s="95"/>
      <c r="U9" s="18"/>
      <c r="V9" s="18"/>
      <c r="Y9" s="18"/>
      <c r="Z9" s="18"/>
    </row>
    <row r="10" spans="2:26">
      <c r="B10" s="25"/>
      <c r="O10" s="17"/>
      <c r="P10" s="95"/>
      <c r="U10" s="18"/>
      <c r="V10" s="18"/>
      <c r="Y10" s="18"/>
      <c r="Z10" s="18"/>
    </row>
    <row r="11" spans="2:26">
      <c r="B11" s="25"/>
      <c r="C11" s="287" t="s">
        <v>383</v>
      </c>
      <c r="E11" s="363" t="e">
        <f>VLOOKUP(C11,C13:E16,2,)</f>
        <v>#REF!</v>
      </c>
      <c r="G11" s="287" t="s">
        <v>383</v>
      </c>
      <c r="I11" s="363" t="e">
        <f>VLOOKUP(G11,G13:I16,2,)</f>
        <v>#REF!</v>
      </c>
      <c r="K11" s="369" t="s">
        <v>382</v>
      </c>
      <c r="M11" s="363" t="e">
        <f>VLOOKUP(K11,K13:M16,2,)</f>
        <v>#REF!</v>
      </c>
      <c r="O11" s="17"/>
      <c r="P11" s="95"/>
      <c r="U11" s="18"/>
      <c r="V11" s="18"/>
      <c r="Y11" s="18"/>
      <c r="Z11" s="18"/>
    </row>
    <row r="12" spans="2:26">
      <c r="B12" s="25"/>
      <c r="O12" s="17"/>
      <c r="P12" s="95"/>
      <c r="U12" s="18"/>
      <c r="V12" s="18"/>
      <c r="Y12" s="18"/>
      <c r="Z12" s="18"/>
    </row>
    <row r="13" spans="2:26" hidden="1" outlineLevel="1">
      <c r="B13" s="25"/>
      <c r="C13" s="118" t="s">
        <v>382</v>
      </c>
      <c r="D13" s="360" t="e">
        <f>E9/E13</f>
        <v>#REF!</v>
      </c>
      <c r="E13" s="118">
        <f>Assumptions!D7</f>
        <v>60</v>
      </c>
      <c r="F13" s="118"/>
      <c r="G13" s="118" t="s">
        <v>383</v>
      </c>
      <c r="H13" s="360" t="e">
        <f>I9/I13</f>
        <v>#REF!</v>
      </c>
      <c r="I13" s="118">
        <f>Assumptions!H9+Assumptions!H7</f>
        <v>85</v>
      </c>
      <c r="J13" s="118"/>
      <c r="K13" s="118" t="s">
        <v>384</v>
      </c>
      <c r="L13" s="360" t="e">
        <f>M9/M13</f>
        <v>#REF!</v>
      </c>
      <c r="M13" s="18">
        <f>Assumptions!M9+Assumptions!O9</f>
        <v>520</v>
      </c>
      <c r="O13" s="17"/>
      <c r="P13" s="95"/>
      <c r="U13" s="18"/>
      <c r="V13" s="18"/>
      <c r="Y13" s="18"/>
      <c r="Z13" s="18"/>
    </row>
    <row r="14" spans="2:26" hidden="1" outlineLevel="1">
      <c r="B14" s="25"/>
      <c r="C14" s="118" t="s">
        <v>383</v>
      </c>
      <c r="D14" s="360" t="e">
        <f>E9/E14</f>
        <v>#REF!</v>
      </c>
      <c r="E14" s="118">
        <f>Assumptions!D9</f>
        <v>80</v>
      </c>
      <c r="F14" s="118"/>
      <c r="G14" s="118" t="s">
        <v>382</v>
      </c>
      <c r="H14" s="360" t="e">
        <f>I9/I14</f>
        <v>#REF!</v>
      </c>
      <c r="I14" s="118">
        <f>Assumptions!D7</f>
        <v>60</v>
      </c>
      <c r="J14" s="118"/>
      <c r="K14" s="118" t="s">
        <v>382</v>
      </c>
      <c r="L14" s="360" t="e">
        <f>M9/M14</f>
        <v>#REF!</v>
      </c>
      <c r="M14" s="18">
        <f>Assumptions!M13+Assumptions!O13</f>
        <v>1720</v>
      </c>
      <c r="P14" s="95"/>
      <c r="U14" s="18"/>
      <c r="V14" s="18"/>
      <c r="Y14" s="18"/>
      <c r="Z14" s="18"/>
    </row>
    <row r="15" spans="2:26" hidden="1" outlineLevel="1">
      <c r="B15" s="25"/>
      <c r="C15" s="118" t="s">
        <v>221</v>
      </c>
      <c r="D15" s="360" t="e">
        <f>E9/E15</f>
        <v>#REF!</v>
      </c>
      <c r="E15" s="118" t="s">
        <v>449</v>
      </c>
      <c r="F15" s="118"/>
      <c r="G15" s="118" t="s">
        <v>221</v>
      </c>
      <c r="H15" s="360" t="e">
        <f>I9/I15</f>
        <v>#REF!</v>
      </c>
      <c r="I15" s="118" t="s">
        <v>449</v>
      </c>
      <c r="J15" s="118"/>
      <c r="K15" s="277" t="s">
        <v>398</v>
      </c>
      <c r="L15" s="362" t="e">
        <f>M9/M15</f>
        <v>#REF!</v>
      </c>
      <c r="M15" s="361">
        <f>Assumptions!M19+Assumptions!O19</f>
        <v>320000</v>
      </c>
      <c r="P15" s="95"/>
      <c r="U15" s="18"/>
      <c r="V15" s="18"/>
      <c r="Y15" s="18"/>
      <c r="Z15" s="18"/>
    </row>
    <row r="16" spans="2:26" hidden="1" outlineLevel="1">
      <c r="B16" s="25"/>
      <c r="C16" s="118" t="s">
        <v>210</v>
      </c>
      <c r="D16" s="360" t="e">
        <f>E9/E16</f>
        <v>#REF!</v>
      </c>
      <c r="E16" s="118" t="s">
        <v>449</v>
      </c>
      <c r="F16" s="118"/>
      <c r="G16" s="118" t="s">
        <v>210</v>
      </c>
      <c r="H16" s="360" t="e">
        <f>I9/I16</f>
        <v>#REF!</v>
      </c>
      <c r="I16" s="118" t="s">
        <v>449</v>
      </c>
      <c r="J16" s="118"/>
      <c r="K16" s="118" t="s">
        <v>452</v>
      </c>
      <c r="L16" s="360" t="e">
        <f>M9/M16</f>
        <v>#REF!</v>
      </c>
      <c r="M16" s="18">
        <f>Assumptions!M11+Assumptions!O11</f>
        <v>820</v>
      </c>
      <c r="P16" s="95"/>
      <c r="U16" s="18"/>
      <c r="V16" s="18"/>
      <c r="Y16" s="18"/>
      <c r="Z16" s="18"/>
    </row>
    <row r="17" spans="2:26" ht="12.75" collapsed="1" thickBot="1">
      <c r="B17" s="281"/>
      <c r="C17" s="282"/>
      <c r="D17" s="351"/>
      <c r="E17" s="282"/>
      <c r="F17" s="282"/>
      <c r="G17" s="282"/>
      <c r="H17" s="351"/>
      <c r="I17" s="282"/>
      <c r="J17" s="282"/>
      <c r="K17" s="282"/>
      <c r="L17" s="351"/>
      <c r="M17" s="282"/>
      <c r="N17" s="282"/>
      <c r="O17" s="282"/>
      <c r="P17" s="283"/>
      <c r="U17" s="18"/>
      <c r="V17" s="18"/>
      <c r="Y17" s="18"/>
      <c r="Z17" s="18"/>
    </row>
    <row r="18" spans="2:26" ht="13.5" thickTop="1" thickBot="1">
      <c r="B18" s="278"/>
      <c r="C18" s="279"/>
      <c r="D18" s="350"/>
      <c r="E18" s="279"/>
      <c r="F18" s="279"/>
      <c r="G18" s="279"/>
      <c r="H18" s="350"/>
      <c r="I18" s="279"/>
      <c r="J18" s="279"/>
      <c r="K18" s="279"/>
      <c r="L18" s="350"/>
      <c r="M18" s="279"/>
      <c r="N18" s="279"/>
      <c r="O18" s="279"/>
      <c r="P18" s="280"/>
      <c r="U18" s="18"/>
      <c r="V18" s="18"/>
      <c r="Y18" s="18"/>
      <c r="Z18" s="18"/>
    </row>
    <row r="19" spans="2:26" ht="13.5" thickTop="1" thickBot="1">
      <c r="B19" s="25"/>
      <c r="C19" s="449" t="s">
        <v>388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17"/>
      <c r="O19" s="326" t="e">
        <f>E21+I21+M21</f>
        <v>#REF!</v>
      </c>
      <c r="P19" s="95"/>
      <c r="U19" s="18"/>
      <c r="V19" s="18"/>
      <c r="Y19" s="18"/>
      <c r="Z19" s="18"/>
    </row>
    <row r="20" spans="2:26" ht="12.75" thickTop="1">
      <c r="B20" s="25"/>
      <c r="I20" s="18"/>
      <c r="P20" s="95"/>
      <c r="U20" s="18"/>
      <c r="V20" s="18"/>
      <c r="Y20" s="18"/>
      <c r="Z20" s="18"/>
    </row>
    <row r="21" spans="2:26">
      <c r="B21" s="25"/>
      <c r="C21" s="284" t="s">
        <v>389</v>
      </c>
      <c r="E21" s="27" t="e">
        <f>#REF!+#REF!</f>
        <v>#REF!</v>
      </c>
      <c r="G21" s="284" t="s">
        <v>390</v>
      </c>
      <c r="I21" s="27" t="e">
        <f>#REF!+#REF!+#REF!+#REF!</f>
        <v>#REF!</v>
      </c>
      <c r="K21" s="284" t="s">
        <v>391</v>
      </c>
      <c r="M21" s="27" t="e">
        <f>#REF!+#REF!+#REF!</f>
        <v>#REF!</v>
      </c>
      <c r="N21" s="17"/>
      <c r="O21" s="17"/>
      <c r="P21" s="95"/>
      <c r="U21" s="18"/>
      <c r="V21" s="18"/>
      <c r="Y21" s="18"/>
      <c r="Z21" s="18"/>
    </row>
    <row r="22" spans="2:26">
      <c r="B22" s="25"/>
      <c r="O22" s="17"/>
      <c r="P22" s="95"/>
      <c r="U22" s="18"/>
      <c r="V22" s="18"/>
      <c r="Y22" s="18"/>
      <c r="Z22" s="18"/>
    </row>
    <row r="23" spans="2:26">
      <c r="B23" s="25"/>
      <c r="C23" s="288" t="s">
        <v>392</v>
      </c>
      <c r="E23" s="366" t="e">
        <f>VLOOKUP(C23,C25:E28,2,)</f>
        <v>#REF!</v>
      </c>
      <c r="G23" s="288" t="s">
        <v>393</v>
      </c>
      <c r="I23" s="366" t="e">
        <f>VLOOKUP(G23,G25:I28,2,)</f>
        <v>#REF!</v>
      </c>
      <c r="K23" s="365" t="s">
        <v>395</v>
      </c>
      <c r="M23" s="366" t="e">
        <f>VLOOKUP(K23,K25:M28,2,)</f>
        <v>#REF!</v>
      </c>
      <c r="O23" s="17"/>
      <c r="P23" s="95"/>
      <c r="U23" s="18"/>
      <c r="V23" s="18"/>
      <c r="Y23" s="18"/>
      <c r="Z23" s="18"/>
    </row>
    <row r="24" spans="2:26">
      <c r="B24" s="25"/>
      <c r="O24" s="17"/>
      <c r="P24" s="95"/>
      <c r="U24" s="18"/>
      <c r="V24" s="18"/>
      <c r="Y24" s="18"/>
      <c r="Z24" s="18"/>
    </row>
    <row r="25" spans="2:26" hidden="1" outlineLevel="1">
      <c r="B25" s="25"/>
      <c r="C25" s="118" t="s">
        <v>392</v>
      </c>
      <c r="D25" s="360" t="e">
        <f>E21/E25</f>
        <v>#REF!</v>
      </c>
      <c r="E25" s="118">
        <f>Assumptions!D61</f>
        <v>30</v>
      </c>
      <c r="F25" s="118"/>
      <c r="G25" s="118" t="s">
        <v>393</v>
      </c>
      <c r="H25" s="360" t="e">
        <f>I21/I25</f>
        <v>#REF!</v>
      </c>
      <c r="I25" s="349" t="e">
        <f>#REF!</f>
        <v>#REF!</v>
      </c>
      <c r="J25" s="118"/>
      <c r="K25" s="118" t="s">
        <v>384</v>
      </c>
      <c r="L25" s="360" t="e">
        <f>M21/M25</f>
        <v>#REF!</v>
      </c>
      <c r="M25" s="18">
        <f>Assumptions!M9+Assumptions!O9</f>
        <v>520</v>
      </c>
      <c r="O25" s="17"/>
      <c r="P25" s="95"/>
      <c r="U25" s="18"/>
      <c r="V25" s="18"/>
      <c r="Y25" s="18"/>
      <c r="Z25" s="18"/>
    </row>
    <row r="26" spans="2:26" hidden="1" outlineLevel="1">
      <c r="B26" s="25"/>
      <c r="C26" s="118" t="s">
        <v>393</v>
      </c>
      <c r="D26" s="360" t="e">
        <f>E21/E26</f>
        <v>#REF!</v>
      </c>
      <c r="E26" s="118">
        <f>Assumptions!D63</f>
        <v>50</v>
      </c>
      <c r="F26" s="118"/>
      <c r="G26" s="118" t="s">
        <v>394</v>
      </c>
      <c r="H26" s="360" t="e">
        <f>I21/I26</f>
        <v>#REF!</v>
      </c>
      <c r="I26" s="364" t="e">
        <f>setup!AC2</f>
        <v>#REF!</v>
      </c>
      <c r="J26" s="118"/>
      <c r="K26" s="118" t="s">
        <v>395</v>
      </c>
      <c r="L26" s="360" t="e">
        <f>M21/M26</f>
        <v>#REF!</v>
      </c>
      <c r="M26" s="18">
        <f>setup!Y17</f>
        <v>46</v>
      </c>
      <c r="P26" s="95"/>
      <c r="U26" s="18"/>
      <c r="V26" s="18"/>
      <c r="Y26" s="18"/>
      <c r="Z26" s="18"/>
    </row>
    <row r="27" spans="2:26" hidden="1" outlineLevel="1">
      <c r="B27" s="25"/>
      <c r="C27" s="118" t="s">
        <v>221</v>
      </c>
      <c r="D27" s="360" t="e">
        <f>E21/E27</f>
        <v>#REF!</v>
      </c>
      <c r="E27" s="118"/>
      <c r="F27" s="118"/>
      <c r="G27" s="118" t="s">
        <v>221</v>
      </c>
      <c r="H27" s="360" t="e">
        <f>I21/I27</f>
        <v>#REF!</v>
      </c>
      <c r="I27" s="118" t="s">
        <v>449</v>
      </c>
      <c r="J27" s="118"/>
      <c r="K27" s="277" t="s">
        <v>398</v>
      </c>
      <c r="L27" s="360" t="e">
        <f>M21/M27</f>
        <v>#REF!</v>
      </c>
      <c r="M27" s="361">
        <f>Assumptions!M19+Assumptions!O19</f>
        <v>320000</v>
      </c>
      <c r="P27" s="95"/>
      <c r="U27" s="18"/>
      <c r="V27" s="18"/>
      <c r="Y27" s="18"/>
      <c r="Z27" s="18"/>
    </row>
    <row r="28" spans="2:26" hidden="1" outlineLevel="1">
      <c r="B28" s="25"/>
      <c r="C28" s="118" t="s">
        <v>210</v>
      </c>
      <c r="D28" s="360" t="e">
        <f>E21/E28</f>
        <v>#REF!</v>
      </c>
      <c r="E28" s="118"/>
      <c r="F28" s="118"/>
      <c r="G28" s="118" t="s">
        <v>210</v>
      </c>
      <c r="H28" s="360" t="e">
        <f>I21/I28</f>
        <v>#REF!</v>
      </c>
      <c r="I28" s="118" t="s">
        <v>449</v>
      </c>
      <c r="J28" s="118"/>
      <c r="K28" s="118" t="s">
        <v>210</v>
      </c>
      <c r="L28" s="360" t="e">
        <f>M21/M28</f>
        <v>#REF!</v>
      </c>
      <c r="P28" s="95"/>
      <c r="U28" s="18"/>
      <c r="V28" s="18"/>
      <c r="Y28" s="18"/>
      <c r="Z28" s="18"/>
    </row>
    <row r="29" spans="2:26" ht="12.75" collapsed="1" thickBot="1">
      <c r="B29" s="281"/>
      <c r="C29" s="282"/>
      <c r="D29" s="351"/>
      <c r="E29" s="282"/>
      <c r="F29" s="282"/>
      <c r="G29" s="282"/>
      <c r="H29" s="351"/>
      <c r="I29" s="282"/>
      <c r="J29" s="282"/>
      <c r="K29" s="282"/>
      <c r="L29" s="351"/>
      <c r="M29" s="282"/>
      <c r="N29" s="282"/>
      <c r="O29" s="282"/>
      <c r="P29" s="283"/>
      <c r="U29" s="18"/>
      <c r="V29" s="18"/>
      <c r="Y29" s="18"/>
      <c r="Z29" s="18"/>
    </row>
    <row r="30" spans="2:26" ht="13.5" thickTop="1" thickBot="1">
      <c r="B30" s="278"/>
      <c r="C30" s="279"/>
      <c r="D30" s="350"/>
      <c r="E30" s="279"/>
      <c r="F30" s="279"/>
      <c r="G30" s="279"/>
      <c r="H30" s="350"/>
      <c r="I30" s="279"/>
      <c r="J30" s="279"/>
      <c r="K30" s="279"/>
      <c r="L30" s="350"/>
      <c r="M30" s="279"/>
      <c r="N30" s="279"/>
      <c r="O30" s="279"/>
      <c r="P30" s="280"/>
      <c r="U30" s="18"/>
      <c r="V30" s="18"/>
      <c r="Y30" s="18"/>
      <c r="Z30" s="18"/>
    </row>
    <row r="31" spans="2:26" ht="13.5" thickTop="1" thickBot="1">
      <c r="B31" s="25"/>
      <c r="C31" s="450" t="s">
        <v>83</v>
      </c>
      <c r="D31" s="450"/>
      <c r="E31" s="450"/>
      <c r="F31" s="450"/>
      <c r="G31" s="450"/>
      <c r="H31" s="450"/>
      <c r="I31" s="450"/>
      <c r="J31" s="450"/>
      <c r="K31" s="450"/>
      <c r="L31" s="450"/>
      <c r="M31" s="450"/>
      <c r="N31" s="17"/>
      <c r="O31" s="326">
        <f>E33+I33+M33</f>
        <v>0</v>
      </c>
      <c r="P31" s="95"/>
      <c r="U31" s="18"/>
      <c r="V31" s="18"/>
      <c r="Y31" s="18"/>
      <c r="Z31" s="18"/>
    </row>
    <row r="32" spans="2:26" ht="12.75" thickTop="1">
      <c r="B32" s="25"/>
      <c r="I32" s="18"/>
      <c r="P32" s="95"/>
      <c r="U32" s="18"/>
      <c r="V32" s="18"/>
      <c r="Y32" s="18"/>
      <c r="Z32" s="18"/>
    </row>
    <row r="33" spans="2:26">
      <c r="B33" s="25"/>
      <c r="C33" s="289" t="s">
        <v>420</v>
      </c>
      <c r="E33" s="27"/>
      <c r="G33" s="289" t="s">
        <v>421</v>
      </c>
      <c r="I33" s="27">
        <f>Q_Finance!R11</f>
        <v>0</v>
      </c>
      <c r="K33" s="289" t="s">
        <v>422</v>
      </c>
      <c r="M33" s="27">
        <f>Q_Finance!R17</f>
        <v>0</v>
      </c>
      <c r="N33" s="17"/>
      <c r="O33" s="17"/>
      <c r="P33" s="95"/>
      <c r="U33" s="18"/>
      <c r="V33" s="18"/>
      <c r="Y33" s="18"/>
      <c r="Z33" s="18"/>
    </row>
    <row r="34" spans="2:26">
      <c r="B34" s="25"/>
      <c r="O34" s="17"/>
      <c r="P34" s="95"/>
      <c r="U34" s="18"/>
      <c r="V34" s="18"/>
      <c r="Y34" s="18"/>
      <c r="Z34" s="18"/>
    </row>
    <row r="35" spans="2:26">
      <c r="B35" s="25"/>
      <c r="C35" s="291" t="s">
        <v>392</v>
      </c>
      <c r="E35" s="290"/>
      <c r="G35" s="291" t="s">
        <v>398</v>
      </c>
      <c r="I35" s="367">
        <f>VLOOKUP(G35,G37:I40,2,)</f>
        <v>0</v>
      </c>
      <c r="K35" s="291" t="s">
        <v>398</v>
      </c>
      <c r="M35" s="367">
        <f>VLOOKUP(K35,K37:M40,2,)</f>
        <v>0</v>
      </c>
      <c r="O35" s="17"/>
      <c r="P35" s="95"/>
      <c r="U35" s="18"/>
      <c r="V35" s="18"/>
      <c r="Y35" s="18"/>
      <c r="Z35" s="18"/>
    </row>
    <row r="36" spans="2:26">
      <c r="B36" s="25"/>
      <c r="O36" s="17"/>
      <c r="P36" s="95"/>
      <c r="U36" s="18"/>
      <c r="V36" s="18"/>
      <c r="Y36" s="18"/>
      <c r="Z36" s="18"/>
    </row>
    <row r="37" spans="2:26" hidden="1" outlineLevel="1">
      <c r="B37" s="25"/>
      <c r="C37" s="118" t="s">
        <v>221</v>
      </c>
      <c r="D37" s="360" t="e">
        <f>E33/E37</f>
        <v>#DIV/0!</v>
      </c>
      <c r="E37" s="118"/>
      <c r="F37" s="118"/>
      <c r="G37" s="118" t="s">
        <v>454</v>
      </c>
      <c r="H37" s="360">
        <f>I33/I37</f>
        <v>0</v>
      </c>
      <c r="I37" s="118">
        <f>Assumptions!H61</f>
        <v>60</v>
      </c>
      <c r="J37" s="118"/>
      <c r="K37" s="277" t="s">
        <v>398</v>
      </c>
      <c r="L37" s="360">
        <f>M33/M37</f>
        <v>0</v>
      </c>
      <c r="M37" s="18">
        <f>Assumptions!M80</f>
        <v>320000</v>
      </c>
      <c r="O37" s="17"/>
      <c r="P37" s="95"/>
      <c r="U37" s="18"/>
      <c r="V37" s="18"/>
      <c r="Y37" s="18"/>
      <c r="Z37" s="18"/>
    </row>
    <row r="38" spans="2:26" hidden="1" outlineLevel="1">
      <c r="B38" s="25"/>
      <c r="C38" s="118" t="s">
        <v>210</v>
      </c>
      <c r="D38" s="360" t="e">
        <f>E33/E38</f>
        <v>#DIV/0!</v>
      </c>
      <c r="E38" s="118"/>
      <c r="F38" s="118"/>
      <c r="G38" s="277" t="s">
        <v>398</v>
      </c>
      <c r="H38" s="360">
        <f>I33/I38</f>
        <v>0</v>
      </c>
      <c r="I38" s="118">
        <f>Assumptions!M80</f>
        <v>320000</v>
      </c>
      <c r="J38" s="118"/>
      <c r="K38" s="118" t="s">
        <v>221</v>
      </c>
      <c r="L38" s="360" t="e">
        <f>M33/M38</f>
        <v>#DIV/0!</v>
      </c>
      <c r="O38" s="17"/>
      <c r="P38" s="95"/>
      <c r="U38" s="18"/>
      <c r="V38" s="18"/>
      <c r="Y38" s="18"/>
      <c r="Z38" s="18"/>
    </row>
    <row r="39" spans="2:26" hidden="1" outlineLevel="1">
      <c r="B39" s="25"/>
      <c r="C39" s="118" t="s">
        <v>397</v>
      </c>
      <c r="D39" s="360" t="e">
        <f>E33/E39</f>
        <v>#DIV/0!</v>
      </c>
      <c r="E39" s="118"/>
      <c r="F39" s="118"/>
      <c r="G39" s="277" t="s">
        <v>450</v>
      </c>
      <c r="H39" s="360">
        <f>I33/I39</f>
        <v>0</v>
      </c>
      <c r="I39" s="118">
        <f>Assumptions!H80</f>
        <v>600000</v>
      </c>
      <c r="J39" s="118"/>
      <c r="K39" s="118" t="s">
        <v>210</v>
      </c>
      <c r="L39" s="360" t="e">
        <f>M33/M39</f>
        <v>#DIV/0!</v>
      </c>
      <c r="O39" s="17"/>
      <c r="P39" s="95"/>
      <c r="U39" s="18"/>
      <c r="V39" s="18"/>
      <c r="Y39" s="18"/>
      <c r="Z39" s="18"/>
    </row>
    <row r="40" spans="2:26" hidden="1" outlineLevel="1">
      <c r="B40" s="25"/>
      <c r="C40" s="118" t="s">
        <v>396</v>
      </c>
      <c r="D40" s="360" t="e">
        <f>E33/E40</f>
        <v>#DIV/0!</v>
      </c>
      <c r="E40" s="118"/>
      <c r="F40" s="118"/>
      <c r="G40" s="118" t="s">
        <v>210</v>
      </c>
      <c r="H40" s="360" t="e">
        <f>I33/I40</f>
        <v>#DIV/0!</v>
      </c>
      <c r="I40" s="118"/>
      <c r="J40" s="118"/>
      <c r="K40" s="118" t="s">
        <v>397</v>
      </c>
      <c r="L40" s="360" t="e">
        <f>M33/M40</f>
        <v>#DIV/0!</v>
      </c>
      <c r="P40" s="95"/>
      <c r="U40" s="18"/>
      <c r="V40" s="18"/>
      <c r="Y40" s="18"/>
      <c r="Z40" s="18"/>
    </row>
    <row r="41" spans="2:26" ht="12.75" collapsed="1" thickBot="1">
      <c r="B41" s="281"/>
      <c r="C41" s="282"/>
      <c r="D41" s="351"/>
      <c r="E41" s="282"/>
      <c r="F41" s="282"/>
      <c r="G41" s="282"/>
      <c r="H41" s="351"/>
      <c r="I41" s="282"/>
      <c r="J41" s="282"/>
      <c r="K41" s="282"/>
      <c r="L41" s="351"/>
      <c r="M41" s="282"/>
      <c r="N41" s="282"/>
      <c r="O41" s="282"/>
      <c r="P41" s="283"/>
      <c r="U41" s="18"/>
      <c r="V41" s="18"/>
      <c r="Y41" s="18"/>
      <c r="Z41" s="18"/>
    </row>
    <row r="42" spans="2:26" ht="13.5" thickTop="1" thickBot="1">
      <c r="B42" s="278"/>
      <c r="C42" s="279"/>
      <c r="D42" s="350"/>
      <c r="E42" s="279"/>
      <c r="F42" s="279"/>
      <c r="G42" s="279"/>
      <c r="H42" s="350"/>
      <c r="I42" s="279"/>
      <c r="J42" s="279"/>
      <c r="K42" s="279"/>
      <c r="L42" s="350"/>
      <c r="M42" s="279"/>
      <c r="N42" s="279"/>
      <c r="O42" s="279"/>
      <c r="P42" s="280"/>
      <c r="U42" s="18"/>
      <c r="V42" s="18"/>
      <c r="Y42" s="18"/>
      <c r="Z42" s="18"/>
    </row>
    <row r="43" spans="2:26" ht="13.5" thickTop="1" thickBot="1">
      <c r="B43" s="25"/>
      <c r="C43" s="451" t="s">
        <v>399</v>
      </c>
      <c r="D43" s="451"/>
      <c r="E43" s="451"/>
      <c r="F43" s="451"/>
      <c r="G43" s="451"/>
      <c r="H43" s="451"/>
      <c r="I43" s="451"/>
      <c r="J43" s="451"/>
      <c r="K43" s="451"/>
      <c r="L43" s="451"/>
      <c r="M43" s="451"/>
      <c r="N43" s="17"/>
      <c r="O43" s="326" t="e">
        <f>E45+I45+M45</f>
        <v>#REF!</v>
      </c>
      <c r="P43" s="95"/>
      <c r="U43" s="18"/>
      <c r="V43" s="18"/>
      <c r="Y43" s="18"/>
      <c r="Z43" s="18"/>
    </row>
    <row r="44" spans="2:26" ht="12.75" thickTop="1">
      <c r="B44" s="25"/>
      <c r="I44" s="18"/>
      <c r="P44" s="95"/>
      <c r="U44" s="18"/>
      <c r="V44" s="18"/>
      <c r="Y44" s="18"/>
      <c r="Z44" s="18"/>
    </row>
    <row r="45" spans="2:26">
      <c r="B45" s="25"/>
      <c r="C45" s="292" t="s">
        <v>237</v>
      </c>
      <c r="E45" s="27" t="e">
        <f>#REF!</f>
        <v>#REF!</v>
      </c>
      <c r="G45" s="292" t="s">
        <v>235</v>
      </c>
      <c r="I45" s="27" t="e">
        <f>#REF!</f>
        <v>#REF!</v>
      </c>
      <c r="K45" s="292" t="s">
        <v>451</v>
      </c>
      <c r="M45" s="27" t="e">
        <f>#REF!</f>
        <v>#REF!</v>
      </c>
      <c r="N45" s="17"/>
      <c r="O45" s="17"/>
      <c r="P45" s="95"/>
      <c r="U45" s="18"/>
      <c r="V45" s="18"/>
      <c r="Y45" s="18"/>
      <c r="Z45" s="18"/>
    </row>
    <row r="46" spans="2:26">
      <c r="B46" s="25"/>
      <c r="O46" s="17"/>
      <c r="P46" s="95"/>
      <c r="U46" s="18"/>
      <c r="V46" s="18"/>
      <c r="Y46" s="18"/>
      <c r="Z46" s="18"/>
    </row>
    <row r="47" spans="2:26">
      <c r="B47" s="25"/>
      <c r="C47" s="293" t="s">
        <v>398</v>
      </c>
      <c r="E47" s="378" t="e">
        <f>VLOOKUP(C47,C49:E52,2,)</f>
        <v>#REF!</v>
      </c>
      <c r="G47" s="293" t="s">
        <v>398</v>
      </c>
      <c r="I47" s="378" t="e">
        <f>VLOOKUP(G47,G49:I52,2,)</f>
        <v>#REF!</v>
      </c>
      <c r="K47" s="293" t="s">
        <v>398</v>
      </c>
      <c r="M47" s="378" t="e">
        <f>VLOOKUP(K47,K49:M52,2,)</f>
        <v>#REF!</v>
      </c>
      <c r="O47" s="17"/>
      <c r="P47" s="95"/>
      <c r="U47" s="18"/>
      <c r="V47" s="18"/>
      <c r="Y47" s="18"/>
      <c r="Z47" s="18"/>
    </row>
    <row r="48" spans="2:26">
      <c r="B48" s="25"/>
      <c r="G48" s="118"/>
      <c r="O48" s="17"/>
      <c r="P48" s="95"/>
      <c r="U48" s="18"/>
      <c r="V48" s="18"/>
      <c r="Y48" s="18"/>
      <c r="Z48" s="18"/>
    </row>
    <row r="49" spans="2:26" hidden="1" outlineLevel="1">
      <c r="B49" s="25"/>
      <c r="C49" s="277" t="s">
        <v>398</v>
      </c>
      <c r="D49" s="360" t="e">
        <f>E45/E49</f>
        <v>#REF!</v>
      </c>
      <c r="E49" s="118">
        <f>Assumptions!M80</f>
        <v>320000</v>
      </c>
      <c r="F49" s="118"/>
      <c r="G49" s="277" t="s">
        <v>398</v>
      </c>
      <c r="H49" s="360" t="e">
        <f>I45/I49</f>
        <v>#REF!</v>
      </c>
      <c r="I49" s="118">
        <f>Assumptions!M80</f>
        <v>320000</v>
      </c>
      <c r="J49" s="118"/>
      <c r="K49" s="277" t="s">
        <v>398</v>
      </c>
      <c r="L49" s="360" t="e">
        <f>M45/M49</f>
        <v>#REF!</v>
      </c>
      <c r="M49" s="18">
        <f>Assumptions!M80</f>
        <v>320000</v>
      </c>
      <c r="O49" s="17"/>
      <c r="P49" s="95"/>
      <c r="U49" s="18"/>
      <c r="V49" s="18"/>
      <c r="Y49" s="18"/>
      <c r="Z49" s="18"/>
    </row>
    <row r="50" spans="2:26" hidden="1" outlineLevel="1">
      <c r="B50" s="25"/>
      <c r="C50" s="118" t="s">
        <v>393</v>
      </c>
      <c r="D50" s="360" t="e">
        <f>E45/E50</f>
        <v>#REF!</v>
      </c>
      <c r="E50" s="118"/>
      <c r="F50" s="118"/>
      <c r="G50" s="118" t="s">
        <v>393</v>
      </c>
      <c r="H50" s="360" t="e">
        <f>I45/I50</f>
        <v>#REF!</v>
      </c>
      <c r="I50" s="118"/>
      <c r="J50" s="118"/>
      <c r="K50" s="118" t="s">
        <v>393</v>
      </c>
      <c r="L50" s="360" t="e">
        <f>M45/M50</f>
        <v>#REF!</v>
      </c>
      <c r="O50" s="17"/>
      <c r="P50" s="95"/>
      <c r="U50" s="18"/>
      <c r="V50" s="18"/>
      <c r="Y50" s="18"/>
      <c r="Z50" s="18"/>
    </row>
    <row r="51" spans="2:26" hidden="1" outlineLevel="1">
      <c r="B51" s="25"/>
      <c r="C51" s="118" t="s">
        <v>221</v>
      </c>
      <c r="D51" s="360" t="e">
        <f>E45/E51</f>
        <v>#REF!</v>
      </c>
      <c r="E51" s="118"/>
      <c r="F51" s="118"/>
      <c r="G51" s="118" t="s">
        <v>221</v>
      </c>
      <c r="H51" s="360" t="e">
        <f>I45/I51</f>
        <v>#REF!</v>
      </c>
      <c r="I51" s="118"/>
      <c r="J51" s="118"/>
      <c r="K51" s="118" t="s">
        <v>221</v>
      </c>
      <c r="L51" s="360" t="e">
        <f>M45/M51</f>
        <v>#REF!</v>
      </c>
      <c r="P51" s="95"/>
      <c r="U51" s="18"/>
      <c r="V51" s="18"/>
      <c r="Y51" s="18"/>
      <c r="Z51" s="18"/>
    </row>
    <row r="52" spans="2:26" hidden="1" outlineLevel="1">
      <c r="B52" s="25"/>
      <c r="C52" s="118" t="s">
        <v>210</v>
      </c>
      <c r="D52" s="360" t="e">
        <f>E45/E52</f>
        <v>#REF!</v>
      </c>
      <c r="E52" s="118"/>
      <c r="F52" s="118"/>
      <c r="G52" s="118" t="s">
        <v>210</v>
      </c>
      <c r="H52" s="371" t="e">
        <f>I45/I52</f>
        <v>#REF!</v>
      </c>
      <c r="I52" s="118"/>
      <c r="J52" s="118"/>
      <c r="K52" s="118" t="s">
        <v>210</v>
      </c>
      <c r="L52" s="360" t="e">
        <f>M45/M52</f>
        <v>#REF!</v>
      </c>
      <c r="P52" s="95"/>
      <c r="U52" s="18"/>
      <c r="V52" s="18"/>
      <c r="Y52" s="18"/>
      <c r="Z52" s="18"/>
    </row>
    <row r="53" spans="2:26" ht="12.75" collapsed="1" thickBot="1">
      <c r="B53" s="281"/>
      <c r="C53" s="282"/>
      <c r="D53" s="351"/>
      <c r="E53" s="282"/>
      <c r="F53" s="282"/>
      <c r="G53" s="282"/>
      <c r="H53" s="351"/>
      <c r="I53" s="282"/>
      <c r="J53" s="282"/>
      <c r="K53" s="282"/>
      <c r="L53" s="351"/>
      <c r="M53" s="282"/>
      <c r="N53" s="282"/>
      <c r="O53" s="282"/>
      <c r="P53" s="283"/>
      <c r="U53" s="18"/>
      <c r="V53" s="18"/>
      <c r="Y53" s="18"/>
      <c r="Z53" s="18"/>
    </row>
    <row r="54" spans="2:26" ht="13.5" thickTop="1" thickBot="1">
      <c r="B54" s="278"/>
      <c r="C54" s="279"/>
      <c r="D54" s="350"/>
      <c r="E54" s="279"/>
      <c r="F54" s="279"/>
      <c r="G54" s="279"/>
      <c r="H54" s="350"/>
      <c r="I54" s="279"/>
      <c r="J54" s="279"/>
      <c r="K54" s="279"/>
      <c r="L54" s="350"/>
      <c r="M54" s="279"/>
      <c r="N54" s="279"/>
      <c r="O54" s="279"/>
      <c r="P54" s="280"/>
      <c r="U54" s="18"/>
      <c r="V54" s="18"/>
      <c r="Y54" s="18"/>
      <c r="Z54" s="18"/>
    </row>
    <row r="55" spans="2:26" ht="13.5" thickTop="1" thickBot="1">
      <c r="B55" s="25"/>
      <c r="C55" s="452" t="s">
        <v>419</v>
      </c>
      <c r="D55" s="452"/>
      <c r="E55" s="452"/>
      <c r="F55" s="452"/>
      <c r="G55" s="452"/>
      <c r="H55" s="452"/>
      <c r="I55" s="452"/>
      <c r="J55" s="452"/>
      <c r="K55" s="452"/>
      <c r="L55" s="452"/>
      <c r="M55" s="452"/>
      <c r="N55" s="17"/>
      <c r="O55" s="326" t="e">
        <f>E57+I57+M57</f>
        <v>#REF!</v>
      </c>
      <c r="P55" s="95"/>
      <c r="U55" s="18"/>
      <c r="V55" s="18"/>
      <c r="Y55" s="18"/>
      <c r="Z55" s="18"/>
    </row>
    <row r="56" spans="2:26" ht="12.75" thickTop="1">
      <c r="B56" s="25"/>
      <c r="I56" s="18"/>
      <c r="P56" s="95"/>
      <c r="U56" s="18"/>
      <c r="V56" s="18"/>
      <c r="Y56" s="18"/>
      <c r="Z56" s="18"/>
    </row>
    <row r="57" spans="2:26">
      <c r="B57" s="25"/>
      <c r="C57" s="294"/>
      <c r="E57" s="27"/>
      <c r="G57" s="294" t="s">
        <v>435</v>
      </c>
      <c r="I57" s="27" t="e">
        <f>#REF!</f>
        <v>#REF!</v>
      </c>
      <c r="K57" s="294"/>
      <c r="M57" s="27"/>
      <c r="N57" s="17"/>
      <c r="O57" s="17"/>
      <c r="P57" s="95"/>
      <c r="U57" s="18"/>
      <c r="V57" s="18"/>
      <c r="Y57" s="18"/>
      <c r="Z57" s="18"/>
    </row>
    <row r="58" spans="2:26">
      <c r="B58" s="25"/>
      <c r="O58" s="17"/>
      <c r="P58" s="95"/>
      <c r="U58" s="18"/>
      <c r="V58" s="18"/>
      <c r="Y58" s="18"/>
      <c r="Z58" s="18"/>
    </row>
    <row r="59" spans="2:26">
      <c r="B59" s="25"/>
      <c r="C59" s="296" t="s">
        <v>221</v>
      </c>
      <c r="E59" s="295"/>
      <c r="G59" s="296" t="s">
        <v>398</v>
      </c>
      <c r="I59" s="370" t="e">
        <f>VLOOKUP(G59,G61:I64,2,)</f>
        <v>#REF!</v>
      </c>
      <c r="K59" s="296" t="s">
        <v>221</v>
      </c>
      <c r="M59" s="295"/>
      <c r="O59" s="17"/>
      <c r="P59" s="95"/>
      <c r="U59" s="18"/>
      <c r="V59" s="18"/>
      <c r="Y59" s="18"/>
      <c r="Z59" s="18"/>
    </row>
    <row r="60" spans="2:26">
      <c r="B60" s="25"/>
      <c r="O60" s="17"/>
      <c r="P60" s="95"/>
      <c r="U60" s="18"/>
      <c r="V60" s="18"/>
      <c r="Y60" s="18"/>
      <c r="Z60" s="18"/>
    </row>
    <row r="61" spans="2:26" hidden="1" outlineLevel="1">
      <c r="B61" s="25"/>
      <c r="C61" s="118" t="s">
        <v>221</v>
      </c>
      <c r="D61" s="360" t="e">
        <f>E57/E61</f>
        <v>#DIV/0!</v>
      </c>
      <c r="E61" s="118"/>
      <c r="F61" s="118"/>
      <c r="G61" s="118" t="s">
        <v>60</v>
      </c>
      <c r="H61" s="360" t="e">
        <f>I57/I61</f>
        <v>#REF!</v>
      </c>
      <c r="I61" s="118" t="e">
        <f>setup!AC2</f>
        <v>#REF!</v>
      </c>
      <c r="J61" s="118"/>
      <c r="K61" s="118" t="s">
        <v>221</v>
      </c>
      <c r="L61" s="360" t="e">
        <f>M57/M61</f>
        <v>#DIV/0!</v>
      </c>
      <c r="O61" s="17"/>
      <c r="P61" s="95"/>
      <c r="U61" s="18"/>
      <c r="V61" s="18"/>
      <c r="Y61" s="18"/>
      <c r="Z61" s="18"/>
    </row>
    <row r="62" spans="2:26" hidden="1" outlineLevel="1">
      <c r="B62" s="25"/>
      <c r="C62" s="118" t="s">
        <v>210</v>
      </c>
      <c r="D62" s="360" t="e">
        <f>E57/E62</f>
        <v>#DIV/0!</v>
      </c>
      <c r="E62" s="118"/>
      <c r="F62" s="118"/>
      <c r="G62" s="277" t="s">
        <v>398</v>
      </c>
      <c r="H62" s="360" t="e">
        <f>I57/I62</f>
        <v>#REF!</v>
      </c>
      <c r="I62" s="118">
        <f>Assumptions!M80</f>
        <v>320000</v>
      </c>
      <c r="J62" s="118"/>
      <c r="K62" s="118" t="s">
        <v>210</v>
      </c>
      <c r="L62" s="360" t="e">
        <f>M57/M62</f>
        <v>#DIV/0!</v>
      </c>
      <c r="O62" s="17"/>
      <c r="P62" s="95"/>
      <c r="U62" s="18"/>
      <c r="V62" s="18"/>
      <c r="Y62" s="18"/>
      <c r="Z62" s="18"/>
    </row>
    <row r="63" spans="2:26" hidden="1" outlineLevel="1">
      <c r="B63" s="25"/>
      <c r="C63" s="118" t="s">
        <v>397</v>
      </c>
      <c r="D63" s="360" t="e">
        <f>E57/E63</f>
        <v>#DIV/0!</v>
      </c>
      <c r="E63" s="118"/>
      <c r="F63" s="118"/>
      <c r="G63" s="277" t="s">
        <v>439</v>
      </c>
      <c r="H63" s="360" t="e">
        <f>I57/I63</f>
        <v>#REF!</v>
      </c>
      <c r="I63" s="124" t="e">
        <f>O7</f>
        <v>#REF!</v>
      </c>
      <c r="J63" s="118"/>
      <c r="K63" s="118" t="s">
        <v>397</v>
      </c>
      <c r="L63" s="360" t="e">
        <f>M57/M63</f>
        <v>#DIV/0!</v>
      </c>
      <c r="P63" s="95"/>
      <c r="U63" s="18"/>
      <c r="V63" s="18"/>
      <c r="Y63" s="18"/>
      <c r="Z63" s="18"/>
    </row>
    <row r="64" spans="2:26" hidden="1" outlineLevel="1">
      <c r="B64" s="25"/>
      <c r="C64" s="118" t="s">
        <v>396</v>
      </c>
      <c r="D64" s="360" t="e">
        <f>E57/E64</f>
        <v>#DIV/0!</v>
      </c>
      <c r="E64" s="118"/>
      <c r="F64" s="118"/>
      <c r="G64" s="118" t="s">
        <v>221</v>
      </c>
      <c r="H64" s="360" t="e">
        <f>I57/I64</f>
        <v>#REF!</v>
      </c>
      <c r="I64" s="118"/>
      <c r="J64" s="118"/>
      <c r="K64" s="118" t="s">
        <v>396</v>
      </c>
      <c r="L64" s="360" t="e">
        <f>M57/M64</f>
        <v>#DIV/0!</v>
      </c>
      <c r="P64" s="95"/>
      <c r="U64" s="18"/>
      <c r="V64" s="18"/>
      <c r="Y64" s="18"/>
      <c r="Z64" s="18"/>
    </row>
    <row r="65" spans="2:32" ht="12.75" collapsed="1" thickBot="1">
      <c r="B65" s="281"/>
      <c r="C65" s="282"/>
      <c r="D65" s="351"/>
      <c r="E65" s="282"/>
      <c r="F65" s="282"/>
      <c r="G65" s="282"/>
      <c r="H65" s="351"/>
      <c r="I65" s="282"/>
      <c r="J65" s="282"/>
      <c r="K65" s="282"/>
      <c r="L65" s="351"/>
      <c r="M65" s="282"/>
      <c r="N65" s="282"/>
      <c r="O65" s="282"/>
      <c r="P65" s="283"/>
      <c r="U65" s="18"/>
      <c r="V65" s="18"/>
      <c r="Y65" s="18"/>
      <c r="Z65" s="18"/>
    </row>
    <row r="66" spans="2:32" ht="12.75" thickTop="1">
      <c r="B66" s="1"/>
      <c r="C66" s="2"/>
      <c r="D66" s="352"/>
      <c r="E66" s="2"/>
      <c r="F66" s="2"/>
      <c r="G66" s="2"/>
      <c r="H66" s="354"/>
      <c r="I66" s="2"/>
      <c r="J66" s="2"/>
      <c r="K66" s="2"/>
      <c r="L66" s="357"/>
      <c r="M66" s="3"/>
      <c r="N66" s="3"/>
      <c r="O66" s="3"/>
      <c r="P66" s="5"/>
      <c r="U66" s="18"/>
      <c r="V66" s="18"/>
      <c r="Y66" s="18"/>
      <c r="Z66" s="18"/>
    </row>
    <row r="67" spans="2:32" ht="12.75" customHeight="1">
      <c r="B67" s="68"/>
      <c r="C67" s="297" t="e">
        <f>#REF!</f>
        <v>#REF!</v>
      </c>
      <c r="E67" s="17"/>
      <c r="F67" s="17"/>
      <c r="G67" s="297" t="e">
        <f>#REF!</f>
        <v>#REF!</v>
      </c>
      <c r="H67" s="355"/>
      <c r="I67" s="18"/>
      <c r="L67" s="444" t="e">
        <f>#REF!</f>
        <v>#REF!</v>
      </c>
      <c r="M67" s="445"/>
      <c r="N67" s="445"/>
      <c r="O67" s="446"/>
      <c r="P67" s="69"/>
      <c r="U67" s="18"/>
      <c r="V67" s="18"/>
      <c r="Y67" s="18"/>
      <c r="Z67" s="18"/>
    </row>
    <row r="68" spans="2:32" ht="12.75" thickBot="1">
      <c r="B68" s="11"/>
      <c r="C68" s="12"/>
      <c r="D68" s="353"/>
      <c r="E68" s="12"/>
      <c r="F68" s="12"/>
      <c r="G68" s="12"/>
      <c r="H68" s="356"/>
      <c r="I68" s="12"/>
      <c r="J68" s="12"/>
      <c r="K68" s="12"/>
      <c r="L68" s="358"/>
      <c r="M68" s="13"/>
      <c r="N68" s="13"/>
      <c r="O68" s="13"/>
      <c r="P68" s="15"/>
      <c r="U68" s="18"/>
      <c r="V68" s="18"/>
      <c r="Y68" s="18"/>
      <c r="Z68" s="18"/>
    </row>
    <row r="69" spans="2:32" ht="12.75" thickTop="1">
      <c r="H69" s="355"/>
      <c r="I69" s="18"/>
      <c r="L69" s="359"/>
      <c r="M69" s="7"/>
      <c r="N69" s="7"/>
      <c r="O69" s="7"/>
      <c r="P69" s="18"/>
      <c r="U69" s="18"/>
      <c r="V69" s="18"/>
      <c r="Y69" s="18"/>
      <c r="Z69" s="18"/>
    </row>
    <row r="70" spans="2:32">
      <c r="I70" s="18"/>
      <c r="P70" s="17"/>
      <c r="Q70" s="7"/>
      <c r="T70" s="20"/>
      <c r="U70" s="20"/>
      <c r="V70" s="21"/>
      <c r="W70" s="21"/>
      <c r="X70" s="21"/>
      <c r="Y70" s="21"/>
      <c r="Z70" s="21"/>
      <c r="AA70" s="21"/>
    </row>
    <row r="71" spans="2:32">
      <c r="C71" s="7"/>
      <c r="H71" s="355"/>
      <c r="J71" s="7"/>
      <c r="K71" s="7"/>
      <c r="L71" s="355"/>
      <c r="M71" s="7"/>
      <c r="N71" s="7"/>
      <c r="O71" s="7"/>
      <c r="P71" s="18"/>
      <c r="S71" s="7"/>
      <c r="T71" s="17"/>
      <c r="U71" s="7"/>
      <c r="V71" s="18"/>
      <c r="X71" s="20"/>
      <c r="Z71" s="21"/>
      <c r="AA71" s="21"/>
      <c r="AB71" s="21"/>
      <c r="AC71" s="21"/>
      <c r="AD71" s="21"/>
      <c r="AE71" s="21"/>
    </row>
    <row r="72" spans="2:32">
      <c r="C72" s="7"/>
      <c r="H72" s="355"/>
      <c r="J72" s="7"/>
      <c r="K72" s="7"/>
      <c r="L72" s="355"/>
      <c r="M72" s="7"/>
      <c r="N72" s="7"/>
      <c r="O72" s="7"/>
      <c r="T72" s="7"/>
      <c r="AA72" s="21"/>
      <c r="AB72" s="21"/>
      <c r="AC72" s="21"/>
      <c r="AD72" s="21"/>
      <c r="AE72" s="21"/>
      <c r="AF72" s="21"/>
    </row>
    <row r="73" spans="2:32">
      <c r="C73" s="7"/>
      <c r="H73" s="355"/>
      <c r="J73" s="7"/>
      <c r="K73" s="7"/>
      <c r="L73" s="355"/>
      <c r="M73" s="7"/>
      <c r="N73" s="7"/>
      <c r="O73" s="7"/>
      <c r="T73" s="7"/>
      <c r="AA73" s="21"/>
      <c r="AB73" s="21"/>
      <c r="AC73" s="21"/>
      <c r="AD73" s="21"/>
      <c r="AE73" s="21"/>
      <c r="AF73" s="21"/>
    </row>
    <row r="74" spans="2:32">
      <c r="C74" s="7"/>
      <c r="H74" s="355"/>
      <c r="J74" s="7"/>
      <c r="K74" s="7"/>
      <c r="L74" s="355"/>
      <c r="M74" s="7"/>
      <c r="N74" s="7"/>
      <c r="O74" s="7"/>
      <c r="T74" s="7"/>
    </row>
    <row r="75" spans="2:32">
      <c r="C75" s="7"/>
      <c r="H75" s="355"/>
      <c r="J75" s="7"/>
      <c r="K75" s="7"/>
      <c r="L75" s="355"/>
      <c r="M75" s="7"/>
      <c r="N75" s="7"/>
      <c r="O75" s="7"/>
      <c r="T75" s="7"/>
    </row>
    <row r="76" spans="2:32">
      <c r="C76" s="7"/>
      <c r="H76" s="355"/>
      <c r="J76" s="7"/>
      <c r="K76" s="7"/>
      <c r="L76" s="355"/>
      <c r="M76" s="7"/>
      <c r="N76" s="7"/>
      <c r="O76" s="7"/>
      <c r="T76" s="7"/>
    </row>
    <row r="77" spans="2:32">
      <c r="C77" s="7"/>
      <c r="H77" s="355"/>
      <c r="J77" s="7"/>
      <c r="K77" s="7"/>
      <c r="L77" s="355"/>
      <c r="M77" s="7"/>
      <c r="N77" s="7"/>
      <c r="O77" s="7"/>
      <c r="T77" s="7"/>
    </row>
    <row r="78" spans="2:32">
      <c r="C78" s="7"/>
      <c r="H78" s="355"/>
      <c r="J78" s="7"/>
      <c r="K78" s="7"/>
      <c r="L78" s="355"/>
      <c r="M78" s="7"/>
      <c r="N78" s="7"/>
      <c r="O78" s="7"/>
      <c r="T78" s="7"/>
    </row>
    <row r="79" spans="2:32">
      <c r="C79" s="7"/>
      <c r="H79" s="355"/>
      <c r="J79" s="7"/>
      <c r="K79" s="7"/>
      <c r="L79" s="355"/>
      <c r="M79" s="7"/>
      <c r="N79" s="7"/>
      <c r="O79" s="7"/>
      <c r="T79" s="7"/>
    </row>
    <row r="80" spans="2:32">
      <c r="C80" s="7"/>
      <c r="H80" s="355"/>
      <c r="J80" s="7"/>
      <c r="K80" s="7"/>
      <c r="L80" s="355"/>
      <c r="M80" s="7"/>
      <c r="N80" s="7"/>
      <c r="O80" s="7"/>
      <c r="T80" s="7"/>
    </row>
    <row r="81" spans="1:32">
      <c r="H81" s="355"/>
      <c r="J81" s="7"/>
      <c r="K81" s="7"/>
      <c r="L81" s="355"/>
      <c r="M81" s="7"/>
      <c r="N81" s="7"/>
      <c r="O81" s="7"/>
      <c r="T81" s="7"/>
    </row>
    <row r="82" spans="1:32">
      <c r="H82" s="355"/>
      <c r="J82" s="7"/>
      <c r="K82" s="7"/>
      <c r="L82" s="355"/>
      <c r="M82" s="7"/>
      <c r="N82" s="7"/>
      <c r="O82" s="7"/>
      <c r="T82" s="7"/>
    </row>
    <row r="83" spans="1:32">
      <c r="H83" s="355"/>
      <c r="J83" s="7"/>
      <c r="K83" s="7"/>
      <c r="L83" s="355"/>
      <c r="M83" s="7"/>
      <c r="N83" s="7"/>
      <c r="O83" s="7"/>
      <c r="T83" s="7"/>
    </row>
    <row r="84" spans="1:32" s="17" customFormat="1">
      <c r="A84" s="18"/>
      <c r="B84" s="18"/>
      <c r="C84" s="18"/>
      <c r="D84" s="349"/>
      <c r="E84" s="18"/>
      <c r="F84" s="18"/>
      <c r="G84" s="18"/>
      <c r="H84" s="355"/>
      <c r="J84" s="7"/>
      <c r="K84" s="7"/>
      <c r="L84" s="355"/>
      <c r="M84" s="7"/>
      <c r="N84" s="7"/>
      <c r="O84" s="7"/>
      <c r="P84" s="7"/>
      <c r="Q84" s="18"/>
      <c r="R84" s="18"/>
      <c r="S84" s="18"/>
      <c r="T84" s="7"/>
      <c r="V84" s="7"/>
      <c r="W84" s="18"/>
      <c r="X84" s="18"/>
      <c r="Y84" s="20"/>
      <c r="Z84" s="20"/>
      <c r="AA84" s="18"/>
      <c r="AB84" s="18"/>
      <c r="AC84" s="18"/>
      <c r="AD84" s="18"/>
      <c r="AE84" s="18"/>
      <c r="AF84" s="18"/>
    </row>
    <row r="85" spans="1:32" s="17" customFormat="1">
      <c r="A85" s="18"/>
      <c r="B85" s="18"/>
      <c r="C85" s="18"/>
      <c r="D85" s="349"/>
      <c r="E85" s="18"/>
      <c r="F85" s="18"/>
      <c r="G85" s="18"/>
      <c r="H85" s="355"/>
      <c r="J85" s="7"/>
      <c r="K85" s="7"/>
      <c r="L85" s="355"/>
      <c r="M85" s="7"/>
      <c r="N85" s="7"/>
      <c r="O85" s="7"/>
      <c r="P85" s="7"/>
      <c r="Q85" s="18"/>
      <c r="R85" s="18"/>
      <c r="S85" s="18"/>
      <c r="T85" s="7"/>
      <c r="V85" s="7"/>
      <c r="W85" s="18"/>
      <c r="X85" s="18"/>
      <c r="Y85" s="20"/>
      <c r="Z85" s="20"/>
      <c r="AA85" s="18"/>
      <c r="AB85" s="18"/>
      <c r="AC85" s="18"/>
      <c r="AD85" s="18"/>
      <c r="AE85" s="18"/>
      <c r="AF85" s="18"/>
    </row>
    <row r="86" spans="1:32" s="17" customFormat="1">
      <c r="A86" s="18"/>
      <c r="B86" s="18"/>
      <c r="C86" s="18"/>
      <c r="D86" s="349"/>
      <c r="E86" s="18"/>
      <c r="F86" s="18"/>
      <c r="G86" s="18"/>
      <c r="H86" s="355"/>
      <c r="J86" s="7"/>
      <c r="K86" s="7"/>
      <c r="L86" s="355"/>
      <c r="M86" s="7"/>
      <c r="N86" s="7"/>
      <c r="O86" s="7"/>
      <c r="P86" s="7"/>
      <c r="Q86" s="18"/>
      <c r="R86" s="18"/>
      <c r="S86" s="18"/>
      <c r="T86" s="7"/>
      <c r="V86" s="7"/>
      <c r="W86" s="18"/>
      <c r="X86" s="18"/>
      <c r="Y86" s="20"/>
      <c r="Z86" s="20"/>
      <c r="AA86" s="18"/>
      <c r="AB86" s="18"/>
      <c r="AC86" s="18"/>
      <c r="AD86" s="18"/>
      <c r="AE86" s="18"/>
      <c r="AF86" s="18"/>
    </row>
    <row r="87" spans="1:32" s="17" customFormat="1">
      <c r="A87" s="18"/>
      <c r="B87" s="18"/>
      <c r="C87" s="18"/>
      <c r="D87" s="349"/>
      <c r="E87" s="18"/>
      <c r="F87" s="18"/>
      <c r="G87" s="18"/>
      <c r="H87" s="355"/>
      <c r="J87" s="7"/>
      <c r="K87" s="7"/>
      <c r="L87" s="355"/>
      <c r="M87" s="7"/>
      <c r="N87" s="7"/>
      <c r="O87" s="7"/>
      <c r="P87" s="7"/>
      <c r="Q87" s="18"/>
      <c r="R87" s="18"/>
      <c r="S87" s="18"/>
      <c r="T87" s="7"/>
      <c r="V87" s="7"/>
      <c r="W87" s="18"/>
      <c r="X87" s="18"/>
      <c r="Y87" s="20"/>
      <c r="Z87" s="20"/>
      <c r="AA87" s="18"/>
      <c r="AB87" s="18"/>
      <c r="AC87" s="18"/>
      <c r="AD87" s="18"/>
      <c r="AE87" s="18"/>
      <c r="AF87" s="18"/>
    </row>
    <row r="88" spans="1:32" s="17" customFormat="1">
      <c r="A88" s="18"/>
      <c r="B88" s="18"/>
      <c r="C88" s="18"/>
      <c r="D88" s="349"/>
      <c r="E88" s="18"/>
      <c r="F88" s="18"/>
      <c r="G88" s="18"/>
      <c r="H88" s="355"/>
      <c r="J88" s="7"/>
      <c r="K88" s="7"/>
      <c r="L88" s="355"/>
      <c r="M88" s="7"/>
      <c r="N88" s="7"/>
      <c r="O88" s="7"/>
      <c r="P88" s="7"/>
      <c r="Q88" s="18"/>
      <c r="R88" s="18"/>
      <c r="S88" s="18"/>
      <c r="T88" s="7"/>
      <c r="V88" s="7"/>
      <c r="W88" s="18"/>
      <c r="X88" s="18"/>
      <c r="Y88" s="20"/>
      <c r="Z88" s="20"/>
      <c r="AA88" s="18"/>
      <c r="AB88" s="18"/>
      <c r="AC88" s="18"/>
      <c r="AD88" s="18"/>
      <c r="AE88" s="18"/>
      <c r="AF88" s="18"/>
    </row>
    <row r="89" spans="1:32" s="17" customFormat="1">
      <c r="A89" s="18"/>
      <c r="B89" s="18"/>
      <c r="C89" s="18"/>
      <c r="D89" s="349"/>
      <c r="E89" s="18"/>
      <c r="F89" s="18"/>
      <c r="G89" s="18"/>
      <c r="H89" s="355"/>
      <c r="J89" s="7"/>
      <c r="K89" s="7"/>
      <c r="L89" s="355"/>
      <c r="M89" s="7"/>
      <c r="N89" s="7"/>
      <c r="O89" s="7"/>
      <c r="P89" s="7"/>
      <c r="Q89" s="18"/>
      <c r="R89" s="18"/>
      <c r="S89" s="18"/>
      <c r="T89" s="7"/>
      <c r="V89" s="7"/>
      <c r="W89" s="18"/>
      <c r="X89" s="18"/>
      <c r="Y89" s="20"/>
      <c r="Z89" s="20"/>
      <c r="AA89" s="18"/>
      <c r="AB89" s="18"/>
      <c r="AC89" s="18"/>
      <c r="AD89" s="18"/>
      <c r="AE89" s="18"/>
      <c r="AF89" s="18"/>
    </row>
    <row r="90" spans="1:32" s="17" customFormat="1">
      <c r="A90" s="18"/>
      <c r="B90" s="18"/>
      <c r="C90" s="18"/>
      <c r="D90" s="349"/>
      <c r="E90" s="18"/>
      <c r="F90" s="18"/>
      <c r="G90" s="18"/>
      <c r="H90" s="355"/>
      <c r="J90" s="7"/>
      <c r="K90" s="7"/>
      <c r="L90" s="355"/>
      <c r="M90" s="7"/>
      <c r="N90" s="7"/>
      <c r="O90" s="7"/>
      <c r="P90" s="7"/>
      <c r="Q90" s="18"/>
      <c r="R90" s="18"/>
      <c r="S90" s="18"/>
      <c r="T90" s="7"/>
      <c r="V90" s="7"/>
      <c r="W90" s="18"/>
      <c r="X90" s="18"/>
      <c r="Y90" s="20"/>
      <c r="Z90" s="20"/>
      <c r="AA90" s="18"/>
      <c r="AB90" s="18"/>
      <c r="AC90" s="18"/>
      <c r="AD90" s="18"/>
      <c r="AE90" s="18"/>
      <c r="AF90" s="18"/>
    </row>
    <row r="91" spans="1:32" s="17" customFormat="1">
      <c r="A91" s="18"/>
      <c r="B91" s="18"/>
      <c r="C91" s="18"/>
      <c r="D91" s="349"/>
      <c r="E91" s="18"/>
      <c r="F91" s="18"/>
      <c r="G91" s="18"/>
      <c r="H91" s="355"/>
      <c r="J91" s="7"/>
      <c r="K91" s="7"/>
      <c r="L91" s="355"/>
      <c r="M91" s="7"/>
      <c r="N91" s="7"/>
      <c r="O91" s="7"/>
      <c r="P91" s="7"/>
      <c r="Q91" s="18"/>
      <c r="R91" s="18"/>
      <c r="S91" s="18"/>
      <c r="T91" s="7"/>
      <c r="V91" s="7"/>
      <c r="W91" s="18"/>
      <c r="X91" s="18"/>
      <c r="Y91" s="20"/>
      <c r="Z91" s="20"/>
      <c r="AA91" s="18"/>
      <c r="AB91" s="18"/>
      <c r="AC91" s="18"/>
      <c r="AD91" s="18"/>
      <c r="AE91" s="18"/>
      <c r="AF91" s="18"/>
    </row>
    <row r="92" spans="1:32" s="17" customFormat="1">
      <c r="A92" s="18"/>
      <c r="B92" s="18"/>
      <c r="C92" s="18"/>
      <c r="D92" s="349"/>
      <c r="E92" s="18"/>
      <c r="F92" s="18"/>
      <c r="G92" s="18"/>
      <c r="H92" s="355"/>
      <c r="J92" s="7"/>
      <c r="K92" s="7"/>
      <c r="L92" s="355"/>
      <c r="M92" s="7"/>
      <c r="N92" s="7"/>
      <c r="O92" s="7"/>
      <c r="P92" s="7"/>
      <c r="Q92" s="18"/>
      <c r="R92" s="18"/>
      <c r="S92" s="18"/>
      <c r="T92" s="7"/>
      <c r="V92" s="7"/>
      <c r="W92" s="18"/>
      <c r="X92" s="18"/>
      <c r="Y92" s="20"/>
      <c r="Z92" s="20"/>
      <c r="AA92" s="18"/>
      <c r="AB92" s="18"/>
      <c r="AC92" s="18"/>
      <c r="AD92" s="18"/>
      <c r="AE92" s="18"/>
      <c r="AF92" s="18"/>
    </row>
    <row r="93" spans="1:32" s="17" customFormat="1">
      <c r="A93" s="18"/>
      <c r="B93" s="18"/>
      <c r="C93" s="18"/>
      <c r="D93" s="349"/>
      <c r="E93" s="18"/>
      <c r="F93" s="18"/>
      <c r="G93" s="18"/>
      <c r="H93" s="355"/>
      <c r="J93" s="7"/>
      <c r="K93" s="7"/>
      <c r="L93" s="355"/>
      <c r="M93" s="7"/>
      <c r="N93" s="7"/>
      <c r="O93" s="7"/>
      <c r="P93" s="7"/>
      <c r="Q93" s="18"/>
      <c r="R93" s="18"/>
      <c r="S93" s="18"/>
      <c r="T93" s="7"/>
      <c r="V93" s="7"/>
      <c r="W93" s="18"/>
      <c r="X93" s="18"/>
      <c r="Y93" s="20"/>
      <c r="Z93" s="20"/>
      <c r="AA93" s="18"/>
      <c r="AB93" s="18"/>
      <c r="AC93" s="18"/>
      <c r="AD93" s="18"/>
      <c r="AE93" s="18"/>
      <c r="AF93" s="18"/>
    </row>
    <row r="94" spans="1:32" s="17" customFormat="1">
      <c r="A94" s="18"/>
      <c r="B94" s="18"/>
      <c r="C94" s="18"/>
      <c r="D94" s="349"/>
      <c r="E94" s="18"/>
      <c r="F94" s="18"/>
      <c r="G94" s="18"/>
      <c r="H94" s="355"/>
      <c r="J94" s="7"/>
      <c r="K94" s="7"/>
      <c r="L94" s="355"/>
      <c r="M94" s="7"/>
      <c r="N94" s="7"/>
      <c r="O94" s="7"/>
      <c r="P94" s="7"/>
      <c r="Q94" s="18"/>
      <c r="R94" s="18"/>
      <c r="S94" s="18"/>
      <c r="T94" s="7"/>
      <c r="V94" s="7"/>
      <c r="W94" s="18"/>
      <c r="X94" s="18"/>
      <c r="Y94" s="20"/>
      <c r="Z94" s="20"/>
      <c r="AA94" s="18"/>
      <c r="AB94" s="18"/>
      <c r="AC94" s="18"/>
      <c r="AD94" s="18"/>
      <c r="AE94" s="18"/>
      <c r="AF94" s="18"/>
    </row>
    <row r="95" spans="1:32" s="17" customFormat="1">
      <c r="A95" s="18"/>
      <c r="B95" s="18"/>
      <c r="C95" s="18"/>
      <c r="D95" s="349"/>
      <c r="E95" s="18"/>
      <c r="F95" s="18"/>
      <c r="G95" s="18"/>
      <c r="H95" s="355"/>
      <c r="J95" s="7"/>
      <c r="K95" s="7"/>
      <c r="L95" s="355"/>
      <c r="M95" s="7"/>
      <c r="N95" s="7"/>
      <c r="O95" s="7"/>
      <c r="P95" s="7"/>
      <c r="Q95" s="18"/>
      <c r="R95" s="18"/>
      <c r="S95" s="18"/>
      <c r="T95" s="7"/>
      <c r="V95" s="7"/>
      <c r="W95" s="18"/>
      <c r="X95" s="18"/>
      <c r="Y95" s="20"/>
      <c r="Z95" s="20"/>
      <c r="AA95" s="18"/>
      <c r="AB95" s="18"/>
      <c r="AC95" s="18"/>
      <c r="AD95" s="18"/>
      <c r="AE95" s="18"/>
      <c r="AF95" s="18"/>
    </row>
    <row r="96" spans="1:32" s="17" customFormat="1">
      <c r="A96" s="18"/>
      <c r="B96" s="18"/>
      <c r="C96" s="18"/>
      <c r="D96" s="349"/>
      <c r="E96" s="18"/>
      <c r="F96" s="18"/>
      <c r="G96" s="18"/>
      <c r="H96" s="349"/>
      <c r="J96" s="18"/>
      <c r="K96" s="18"/>
      <c r="L96" s="349"/>
      <c r="M96" s="18"/>
      <c r="N96" s="18"/>
      <c r="O96" s="18"/>
      <c r="P96" s="7"/>
      <c r="Q96" s="18"/>
      <c r="R96" s="18"/>
      <c r="S96" s="18"/>
      <c r="T96" s="18"/>
      <c r="V96" s="7"/>
      <c r="W96" s="18"/>
      <c r="X96" s="18"/>
      <c r="Y96" s="20"/>
      <c r="Z96" s="20"/>
      <c r="AA96" s="18"/>
      <c r="AB96" s="18"/>
      <c r="AC96" s="18"/>
      <c r="AD96" s="18"/>
      <c r="AE96" s="18"/>
      <c r="AF96" s="18"/>
    </row>
    <row r="97" spans="1:32" s="17" customFormat="1">
      <c r="A97" s="18"/>
      <c r="B97" s="18"/>
      <c r="C97" s="18"/>
      <c r="D97" s="349"/>
      <c r="E97" s="18"/>
      <c r="F97" s="18"/>
      <c r="G97" s="18"/>
      <c r="H97" s="349"/>
      <c r="J97" s="18"/>
      <c r="K97" s="18"/>
      <c r="L97" s="349"/>
      <c r="M97" s="18"/>
      <c r="N97" s="18"/>
      <c r="O97" s="18"/>
      <c r="P97" s="7"/>
      <c r="Q97" s="18"/>
      <c r="R97" s="18"/>
      <c r="S97" s="18"/>
      <c r="T97" s="18"/>
      <c r="V97" s="7"/>
      <c r="W97" s="18"/>
      <c r="X97" s="18"/>
      <c r="Y97" s="20"/>
      <c r="Z97" s="20"/>
      <c r="AA97" s="18"/>
      <c r="AB97" s="18"/>
      <c r="AC97" s="18"/>
      <c r="AD97" s="18"/>
      <c r="AE97" s="18"/>
      <c r="AF97" s="18"/>
    </row>
    <row r="98" spans="1:32" s="17" customFormat="1">
      <c r="A98" s="18"/>
      <c r="B98" s="18"/>
      <c r="C98" s="18"/>
      <c r="D98" s="349"/>
      <c r="E98" s="18"/>
      <c r="F98" s="18"/>
      <c r="G98" s="18"/>
      <c r="H98" s="349"/>
      <c r="J98" s="18"/>
      <c r="K98" s="18"/>
      <c r="L98" s="349"/>
      <c r="M98" s="18"/>
      <c r="N98" s="18"/>
      <c r="O98" s="18"/>
      <c r="P98" s="7"/>
      <c r="Q98" s="18"/>
      <c r="R98" s="18"/>
      <c r="S98" s="18"/>
      <c r="T98" s="18"/>
      <c r="V98" s="7"/>
      <c r="W98" s="18"/>
      <c r="X98" s="18"/>
      <c r="Y98" s="20"/>
      <c r="Z98" s="20"/>
      <c r="AA98" s="18"/>
      <c r="AB98" s="18"/>
      <c r="AC98" s="18"/>
      <c r="AD98" s="18"/>
      <c r="AE98" s="18"/>
      <c r="AF98" s="18"/>
    </row>
    <row r="99" spans="1:32" s="17" customFormat="1">
      <c r="A99" s="18"/>
      <c r="B99" s="18"/>
      <c r="C99" s="18"/>
      <c r="D99" s="349"/>
      <c r="E99" s="18"/>
      <c r="F99" s="18"/>
      <c r="G99" s="18"/>
      <c r="H99" s="349"/>
      <c r="J99" s="18"/>
      <c r="K99" s="18"/>
      <c r="L99" s="349"/>
      <c r="M99" s="18"/>
      <c r="N99" s="18"/>
      <c r="O99" s="18"/>
      <c r="P99" s="7"/>
      <c r="Q99" s="18"/>
      <c r="R99" s="18"/>
      <c r="S99" s="18"/>
      <c r="T99" s="18"/>
      <c r="V99" s="7"/>
      <c r="W99" s="18"/>
      <c r="X99" s="18"/>
      <c r="Y99" s="20"/>
      <c r="Z99" s="20"/>
      <c r="AA99" s="18"/>
      <c r="AB99" s="18"/>
      <c r="AC99" s="18"/>
      <c r="AD99" s="18"/>
      <c r="AE99" s="18"/>
      <c r="AF99" s="18"/>
    </row>
    <row r="100" spans="1:32" s="17" customFormat="1">
      <c r="A100" s="18"/>
      <c r="B100" s="18"/>
      <c r="C100" s="18"/>
      <c r="D100" s="349"/>
      <c r="E100" s="18"/>
      <c r="F100" s="18"/>
      <c r="G100" s="18"/>
      <c r="H100" s="349"/>
      <c r="J100" s="18"/>
      <c r="K100" s="18"/>
      <c r="L100" s="349"/>
      <c r="M100" s="18"/>
      <c r="N100" s="18"/>
      <c r="O100" s="18"/>
      <c r="P100" s="7"/>
      <c r="Q100" s="18"/>
      <c r="R100" s="18"/>
      <c r="S100" s="18"/>
      <c r="T100" s="18"/>
      <c r="V100" s="7"/>
      <c r="W100" s="18"/>
      <c r="X100" s="18"/>
      <c r="Y100" s="20"/>
      <c r="Z100" s="20"/>
      <c r="AA100" s="18"/>
      <c r="AB100" s="18"/>
      <c r="AC100" s="18"/>
      <c r="AD100" s="18"/>
      <c r="AE100" s="18"/>
      <c r="AF100" s="18"/>
    </row>
  </sheetData>
  <mergeCells count="7">
    <mergeCell ref="L67:O67"/>
    <mergeCell ref="C3:M4"/>
    <mergeCell ref="C7:M7"/>
    <mergeCell ref="C19:M19"/>
    <mergeCell ref="C31:M31"/>
    <mergeCell ref="C43:M43"/>
    <mergeCell ref="C55:M55"/>
  </mergeCells>
  <dataValidations count="14">
    <dataValidation type="list" allowBlank="1" showInputMessage="1" showErrorMessage="1" sqref="C11">
      <formula1>$C$13:$C$16</formula1>
    </dataValidation>
    <dataValidation type="list" allowBlank="1" showInputMessage="1" showErrorMessage="1" sqref="G11">
      <formula1>$G$13:$G$16</formula1>
    </dataValidation>
    <dataValidation type="list" allowBlank="1" showInputMessage="1" showErrorMessage="1" sqref="K11">
      <formula1>$K$13:$K$16</formula1>
    </dataValidation>
    <dataValidation type="list" allowBlank="1" showInputMessage="1" showErrorMessage="1" sqref="C23">
      <formula1>$C$25:$C$28</formula1>
    </dataValidation>
    <dataValidation type="list" allowBlank="1" showInputMessage="1" showErrorMessage="1" sqref="G23">
      <formula1>$G$25:$G$28</formula1>
    </dataValidation>
    <dataValidation type="list" allowBlank="1" showInputMessage="1" showErrorMessage="1" sqref="K23">
      <formula1>$K$25:$K$28</formula1>
    </dataValidation>
    <dataValidation type="list" allowBlank="1" showInputMessage="1" showErrorMessage="1" sqref="K35">
      <formula1>$K$37:$K$40</formula1>
    </dataValidation>
    <dataValidation type="list" allowBlank="1" showInputMessage="1" showErrorMessage="1" sqref="C35 C59">
      <formula1>$C$37:$C$40</formula1>
    </dataValidation>
    <dataValidation type="list" allowBlank="1" showInputMessage="1" showErrorMessage="1" sqref="G59">
      <formula1>$G$61:$G$64</formula1>
    </dataValidation>
    <dataValidation type="list" allowBlank="1" showInputMessage="1" showErrorMessage="1" sqref="K59">
      <formula1>$K$61:$K$64</formula1>
    </dataValidation>
    <dataValidation type="list" allowBlank="1" showInputMessage="1" showErrorMessage="1" sqref="G35">
      <formula1>$G$37:$G$40</formula1>
    </dataValidation>
    <dataValidation type="list" allowBlank="1" showInputMessage="1" showErrorMessage="1" sqref="C47">
      <formula1>$C$49:$C$52</formula1>
    </dataValidation>
    <dataValidation type="list" allowBlank="1" showInputMessage="1" showErrorMessage="1" sqref="G47">
      <formula1>$G$49:$G$52</formula1>
    </dataValidation>
    <dataValidation type="list" allowBlank="1" showInputMessage="1" showErrorMessage="1" sqref="K47">
      <formula1>$K$49:$K$52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122"/>
  <sheetViews>
    <sheetView showGridLines="0" zoomScaleNormal="100" workbookViewId="0">
      <selection activeCell="C11" sqref="C11"/>
    </sheetView>
  </sheetViews>
  <sheetFormatPr defaultColWidth="9.140625" defaultRowHeight="12"/>
  <cols>
    <col min="1" max="2" width="1.28515625" style="116" customWidth="1"/>
    <col min="3" max="3" width="23.85546875" style="116" customWidth="1"/>
    <col min="4" max="4" width="9.5703125" style="116" customWidth="1"/>
    <col min="5" max="5" width="30" style="116" customWidth="1"/>
    <col min="6" max="6" width="1.28515625" style="116" customWidth="1"/>
    <col min="7" max="7" width="24.140625" style="155" customWidth="1"/>
    <col min="8" max="8" width="15" style="116" customWidth="1"/>
    <col min="9" max="9" width="16.5703125" style="116" customWidth="1"/>
    <col min="10" max="10" width="1.28515625" style="116" customWidth="1"/>
    <col min="11" max="11" width="21" style="116" customWidth="1"/>
    <col min="12" max="12" width="4.5703125" style="116" customWidth="1"/>
    <col min="13" max="13" width="12.28515625" style="156" customWidth="1"/>
    <col min="14" max="14" width="3.28515625" style="116" customWidth="1"/>
    <col min="15" max="15" width="12.28515625" style="156" customWidth="1"/>
    <col min="16" max="16" width="3.28515625" style="116" customWidth="1"/>
    <col min="17" max="17" width="1.28515625" style="116" customWidth="1"/>
    <col min="18" max="18" width="3.28515625" style="116" customWidth="1"/>
    <col min="19" max="20" width="12.7109375" style="176" bestFit="1" customWidth="1"/>
    <col min="21" max="29" width="12.7109375" style="116" bestFit="1" customWidth="1"/>
    <col min="30" max="16384" width="9.140625" style="116"/>
  </cols>
  <sheetData>
    <row r="1" spans="1:20" ht="6.75" customHeight="1" thickBot="1">
      <c r="A1" s="154"/>
      <c r="S1" s="116"/>
      <c r="T1" s="116"/>
    </row>
    <row r="2" spans="1:20" ht="6.75" customHeight="1" thickTop="1">
      <c r="B2" s="157"/>
      <c r="C2" s="158"/>
      <c r="D2" s="158"/>
      <c r="E2" s="158"/>
      <c r="F2" s="158"/>
      <c r="G2" s="159"/>
      <c r="H2" s="158"/>
      <c r="I2" s="158"/>
      <c r="J2" s="158"/>
      <c r="K2" s="158"/>
      <c r="L2" s="158"/>
      <c r="M2" s="160"/>
      <c r="N2" s="158"/>
      <c r="O2" s="160"/>
      <c r="P2" s="158"/>
      <c r="Q2" s="161"/>
      <c r="S2" s="116"/>
      <c r="T2" s="116"/>
    </row>
    <row r="3" spans="1:20" ht="12" customHeight="1">
      <c r="B3" s="162"/>
      <c r="C3" s="480" t="s">
        <v>381</v>
      </c>
      <c r="D3" s="480"/>
      <c r="E3" s="480"/>
      <c r="F3" s="179"/>
      <c r="G3" s="179"/>
      <c r="H3" s="179"/>
      <c r="I3" s="180"/>
      <c r="J3" s="179"/>
      <c r="K3" s="179"/>
      <c r="L3" s="179"/>
      <c r="M3" s="179"/>
      <c r="N3" s="179"/>
      <c r="O3" s="179"/>
      <c r="P3" s="179"/>
      <c r="Q3" s="163"/>
      <c r="S3" s="116"/>
      <c r="T3" s="116"/>
    </row>
    <row r="4" spans="1:20" ht="6.75" customHeight="1">
      <c r="B4" s="162"/>
      <c r="G4" s="116"/>
      <c r="H4" s="179"/>
      <c r="I4" s="180"/>
      <c r="J4" s="179"/>
      <c r="K4" s="179"/>
      <c r="L4" s="179"/>
      <c r="M4" s="179"/>
      <c r="N4" s="179"/>
      <c r="O4" s="179"/>
      <c r="P4" s="179"/>
      <c r="Q4" s="163"/>
      <c r="S4" s="116"/>
      <c r="T4" s="116"/>
    </row>
    <row r="5" spans="1:20" ht="12" customHeight="1">
      <c r="B5" s="162"/>
      <c r="C5" s="481" t="s">
        <v>319</v>
      </c>
      <c r="D5" s="482"/>
      <c r="E5" s="483"/>
      <c r="G5" s="481" t="s">
        <v>320</v>
      </c>
      <c r="H5" s="482"/>
      <c r="I5" s="483"/>
      <c r="J5" s="179"/>
      <c r="K5" s="481" t="s">
        <v>327</v>
      </c>
      <c r="L5" s="482"/>
      <c r="M5" s="482"/>
      <c r="N5" s="482"/>
      <c r="O5" s="482"/>
      <c r="P5" s="483"/>
      <c r="Q5" s="163"/>
      <c r="S5" s="116"/>
      <c r="T5" s="116"/>
    </row>
    <row r="6" spans="1:20" ht="6.75" customHeight="1">
      <c r="B6" s="162"/>
      <c r="C6" s="179"/>
      <c r="D6" s="179"/>
      <c r="E6" s="179"/>
      <c r="F6" s="179"/>
      <c r="G6" s="179"/>
      <c r="H6" s="179"/>
      <c r="I6" s="179"/>
      <c r="J6" s="181"/>
      <c r="K6" s="181"/>
      <c r="L6" s="181"/>
      <c r="M6" s="181"/>
      <c r="N6" s="181"/>
      <c r="O6" s="181"/>
      <c r="P6" s="181"/>
      <c r="Q6" s="163"/>
      <c r="S6" s="116"/>
      <c r="T6" s="116"/>
    </row>
    <row r="7" spans="1:20" ht="12" customHeight="1">
      <c r="B7" s="162"/>
      <c r="C7" s="190" t="s">
        <v>325</v>
      </c>
      <c r="D7" s="188">
        <v>60</v>
      </c>
      <c r="E7" s="183" t="s">
        <v>321</v>
      </c>
      <c r="F7" s="179"/>
      <c r="G7" s="190" t="s">
        <v>70</v>
      </c>
      <c r="H7" s="188">
        <v>10</v>
      </c>
      <c r="I7" s="183" t="s">
        <v>326</v>
      </c>
      <c r="J7" s="181"/>
      <c r="K7" s="190"/>
      <c r="L7" s="190"/>
      <c r="M7" s="182" t="s">
        <v>339</v>
      </c>
      <c r="N7" s="190"/>
      <c r="O7" s="182" t="s">
        <v>340</v>
      </c>
      <c r="P7" s="190"/>
      <c r="Q7" s="163"/>
      <c r="S7" s="116"/>
      <c r="T7" s="116"/>
    </row>
    <row r="8" spans="1:20" ht="6.75" customHeight="1">
      <c r="B8" s="162"/>
      <c r="C8" s="189"/>
      <c r="G8" s="189"/>
      <c r="H8" s="179"/>
      <c r="I8" s="180"/>
      <c r="J8" s="181"/>
      <c r="K8" s="189"/>
      <c r="L8" s="189"/>
      <c r="M8" s="181"/>
      <c r="N8" s="189"/>
      <c r="O8" s="181"/>
      <c r="P8" s="189"/>
      <c r="Q8" s="163"/>
      <c r="S8" s="116"/>
      <c r="T8" s="116"/>
    </row>
    <row r="9" spans="1:20" ht="12" customHeight="1">
      <c r="B9" s="162"/>
      <c r="C9" s="190" t="s">
        <v>323</v>
      </c>
      <c r="D9" s="188">
        <v>80</v>
      </c>
      <c r="E9" s="187" t="s">
        <v>438</v>
      </c>
      <c r="F9" s="179"/>
      <c r="G9" s="190" t="s">
        <v>69</v>
      </c>
      <c r="H9" s="188">
        <v>75</v>
      </c>
      <c r="I9" s="183" t="s">
        <v>326</v>
      </c>
      <c r="J9" s="181"/>
      <c r="K9" s="190" t="s">
        <v>335</v>
      </c>
      <c r="L9" s="190"/>
      <c r="M9" s="188">
        <v>500</v>
      </c>
      <c r="N9" s="190"/>
      <c r="O9" s="188">
        <v>20</v>
      </c>
      <c r="P9" s="190"/>
      <c r="Q9" s="163"/>
      <c r="S9" s="116"/>
      <c r="T9" s="116"/>
    </row>
    <row r="10" spans="1:20" ht="6.75" customHeight="1">
      <c r="B10" s="162"/>
      <c r="C10" s="189"/>
      <c r="G10" s="189"/>
      <c r="H10" s="179"/>
      <c r="I10" s="180"/>
      <c r="J10" s="181"/>
      <c r="K10" s="189"/>
      <c r="L10" s="189"/>
      <c r="M10" s="181"/>
      <c r="N10" s="189"/>
      <c r="O10" s="181"/>
      <c r="P10" s="189"/>
      <c r="Q10" s="163"/>
      <c r="S10" s="116"/>
      <c r="T10" s="116"/>
    </row>
    <row r="11" spans="1:20" ht="12" customHeight="1">
      <c r="B11" s="162"/>
      <c r="C11" s="190" t="s">
        <v>322</v>
      </c>
      <c r="D11" s="479" t="s">
        <v>324</v>
      </c>
      <c r="E11" s="479"/>
      <c r="F11" s="179"/>
      <c r="G11" s="484" t="s">
        <v>328</v>
      </c>
      <c r="H11" s="484"/>
      <c r="I11" s="484"/>
      <c r="J11" s="181"/>
      <c r="K11" s="190" t="s">
        <v>336</v>
      </c>
      <c r="L11" s="190"/>
      <c r="M11" s="188">
        <v>800</v>
      </c>
      <c r="N11" s="190"/>
      <c r="O11" s="188">
        <v>20</v>
      </c>
      <c r="P11" s="190"/>
      <c r="Q11" s="163"/>
      <c r="S11" s="116"/>
      <c r="T11" s="116"/>
    </row>
    <row r="12" spans="1:20" ht="6.75" customHeight="1">
      <c r="B12" s="162"/>
      <c r="C12" s="179"/>
      <c r="D12" s="219">
        <f>IF(C13="",0,10000)</f>
        <v>10000</v>
      </c>
      <c r="E12" s="179"/>
      <c r="F12" s="179"/>
      <c r="G12" s="179"/>
      <c r="H12" s="179"/>
      <c r="I12" s="180"/>
      <c r="J12" s="181"/>
      <c r="K12" s="189"/>
      <c r="L12" s="189"/>
      <c r="M12" s="181"/>
      <c r="N12" s="189"/>
      <c r="O12" s="181"/>
      <c r="P12" s="189"/>
      <c r="Q12" s="163"/>
      <c r="S12" s="116"/>
      <c r="T12" s="116"/>
    </row>
    <row r="13" spans="1:20" ht="12" customHeight="1">
      <c r="B13" s="162"/>
      <c r="C13" s="190" t="str">
        <f>IF(ISERROR(FIND("Level 3",D11,1)),"","Q-ty for detailed inspection")</f>
        <v>Q-ty for detailed inspection</v>
      </c>
      <c r="D13" s="220">
        <v>500</v>
      </c>
      <c r="E13" s="183" t="str">
        <f>IF(C13="","","pieces")</f>
        <v>pieces</v>
      </c>
      <c r="F13" s="179"/>
      <c r="G13" s="221"/>
      <c r="H13" s="222"/>
      <c r="I13" s="229"/>
      <c r="J13" s="181"/>
      <c r="K13" s="190" t="s">
        <v>337</v>
      </c>
      <c r="L13" s="190"/>
      <c r="M13" s="188">
        <f>M11*2</f>
        <v>1600</v>
      </c>
      <c r="N13" s="190"/>
      <c r="O13" s="188">
        <f>O11*6</f>
        <v>120</v>
      </c>
      <c r="P13" s="190"/>
      <c r="Q13" s="163"/>
      <c r="S13" s="116"/>
      <c r="T13" s="116"/>
    </row>
    <row r="14" spans="1:20" ht="6.75" customHeight="1">
      <c r="B14" s="162"/>
      <c r="C14" s="179"/>
      <c r="D14" s="219">
        <f>IF(C15="",0,10000)</f>
        <v>0</v>
      </c>
      <c r="E14" s="179"/>
      <c r="F14" s="179"/>
      <c r="G14" s="224"/>
      <c r="H14" s="195"/>
      <c r="I14" s="230"/>
      <c r="J14" s="181"/>
      <c r="K14" s="181"/>
      <c r="L14" s="181"/>
      <c r="M14" s="181"/>
      <c r="N14" s="181"/>
      <c r="O14" s="181"/>
      <c r="P14" s="181"/>
      <c r="Q14" s="163"/>
      <c r="S14" s="116"/>
      <c r="T14" s="116"/>
    </row>
    <row r="15" spans="1:20" ht="12" customHeight="1">
      <c r="B15" s="162"/>
      <c r="C15" s="221"/>
      <c r="D15" s="222"/>
      <c r="E15" s="223"/>
      <c r="F15" s="179"/>
      <c r="G15" s="224"/>
      <c r="H15" s="195"/>
      <c r="I15" s="230"/>
      <c r="J15" s="181"/>
      <c r="K15" s="190" t="s">
        <v>341</v>
      </c>
      <c r="L15" s="190"/>
      <c r="M15" s="188">
        <f>M11*15</f>
        <v>12000</v>
      </c>
      <c r="N15" s="190"/>
      <c r="O15" s="188">
        <f>O11*150</f>
        <v>3000</v>
      </c>
      <c r="P15" s="190"/>
      <c r="Q15" s="163"/>
      <c r="S15" s="116"/>
      <c r="T15" s="116"/>
    </row>
    <row r="16" spans="1:20" ht="6.75" customHeight="1">
      <c r="B16" s="162"/>
      <c r="C16" s="224"/>
      <c r="D16" s="195"/>
      <c r="E16" s="225"/>
      <c r="F16" s="179"/>
      <c r="G16" s="224"/>
      <c r="H16" s="195"/>
      <c r="I16" s="230"/>
      <c r="J16" s="181"/>
      <c r="K16" s="181"/>
      <c r="L16" s="181"/>
      <c r="M16" s="181"/>
      <c r="N16" s="181"/>
      <c r="O16" s="181"/>
      <c r="P16" s="181"/>
      <c r="Q16" s="163"/>
      <c r="S16" s="116"/>
      <c r="T16" s="116"/>
    </row>
    <row r="17" spans="2:20" ht="12" customHeight="1">
      <c r="B17" s="162"/>
      <c r="C17" s="224"/>
      <c r="D17" s="195"/>
      <c r="E17" s="225"/>
      <c r="F17" s="179"/>
      <c r="G17" s="224"/>
      <c r="H17" s="195"/>
      <c r="I17" s="230"/>
      <c r="J17" s="181"/>
      <c r="K17" s="190" t="s">
        <v>338</v>
      </c>
      <c r="L17" s="190"/>
      <c r="M17" s="188"/>
      <c r="N17" s="190"/>
      <c r="O17" s="188"/>
      <c r="P17" s="190"/>
      <c r="Q17" s="163"/>
      <c r="S17" s="116"/>
      <c r="T17" s="116"/>
    </row>
    <row r="18" spans="2:20" ht="6.75" customHeight="1">
      <c r="B18" s="162"/>
      <c r="C18" s="224"/>
      <c r="D18" s="195"/>
      <c r="E18" s="225"/>
      <c r="F18" s="179"/>
      <c r="G18" s="224"/>
      <c r="H18" s="195"/>
      <c r="I18" s="230"/>
      <c r="J18" s="181"/>
      <c r="K18" s="181"/>
      <c r="L18" s="181"/>
      <c r="M18" s="181"/>
      <c r="N18" s="181"/>
      <c r="O18" s="181"/>
      <c r="P18" s="181"/>
      <c r="Q18" s="163"/>
      <c r="S18" s="116"/>
      <c r="T18" s="116"/>
    </row>
    <row r="19" spans="2:20" ht="12" customHeight="1">
      <c r="B19" s="162"/>
      <c r="C19" s="224"/>
      <c r="D19" s="195"/>
      <c r="E19" s="225"/>
      <c r="F19" s="179"/>
      <c r="G19" s="224"/>
      <c r="H19" s="195"/>
      <c r="I19" s="230"/>
      <c r="J19" s="181"/>
      <c r="K19" s="190" t="s">
        <v>342</v>
      </c>
      <c r="L19" s="190"/>
      <c r="M19" s="336">
        <f>M9*600</f>
        <v>300000</v>
      </c>
      <c r="N19" s="190"/>
      <c r="O19" s="336">
        <f>O9*1000</f>
        <v>20000</v>
      </c>
      <c r="P19" s="190"/>
      <c r="Q19" s="163"/>
      <c r="S19" s="116"/>
      <c r="T19" s="116"/>
    </row>
    <row r="20" spans="2:20" ht="6.75" customHeight="1">
      <c r="B20" s="162"/>
      <c r="C20" s="224"/>
      <c r="D20" s="195"/>
      <c r="E20" s="225"/>
      <c r="F20" s="179"/>
      <c r="G20" s="224"/>
      <c r="H20" s="195"/>
      <c r="I20" s="230"/>
      <c r="J20" s="181"/>
      <c r="K20" s="181"/>
      <c r="L20" s="181"/>
      <c r="M20" s="181"/>
      <c r="N20" s="181"/>
      <c r="O20" s="181"/>
      <c r="P20" s="181"/>
      <c r="Q20" s="163"/>
      <c r="S20" s="116"/>
      <c r="T20" s="116"/>
    </row>
    <row r="21" spans="2:20" ht="27.75" customHeight="1">
      <c r="B21" s="162"/>
      <c r="C21" s="226"/>
      <c r="D21" s="227"/>
      <c r="E21" s="228"/>
      <c r="F21" s="179"/>
      <c r="G21" s="226"/>
      <c r="H21" s="227"/>
      <c r="I21" s="231"/>
      <c r="J21" s="181"/>
      <c r="K21" s="338" t="s">
        <v>446</v>
      </c>
      <c r="L21" s="339">
        <f>setup!V29/100</f>
        <v>0.45</v>
      </c>
      <c r="M21" s="232"/>
      <c r="N21" s="232"/>
      <c r="O21" s="232"/>
      <c r="P21" s="233"/>
      <c r="Q21" s="163"/>
      <c r="S21" s="116"/>
      <c r="T21" s="116"/>
    </row>
    <row r="22" spans="2:20" ht="12" customHeight="1">
      <c r="B22" s="162"/>
      <c r="C22" s="179"/>
      <c r="D22" s="179"/>
      <c r="E22" s="179"/>
      <c r="F22" s="179"/>
      <c r="G22" s="179"/>
      <c r="H22" s="179"/>
      <c r="I22" s="180"/>
      <c r="J22" s="181"/>
      <c r="K22" s="181"/>
      <c r="L22" s="181"/>
      <c r="M22" s="181"/>
      <c r="N22" s="181"/>
      <c r="O22" s="181"/>
      <c r="P22" s="181"/>
      <c r="Q22" s="163"/>
      <c r="S22" s="116"/>
      <c r="T22" s="116"/>
    </row>
    <row r="23" spans="2:20" ht="12" customHeight="1">
      <c r="B23" s="162"/>
      <c r="C23" s="485" t="s">
        <v>343</v>
      </c>
      <c r="D23" s="486"/>
      <c r="E23" s="486"/>
      <c r="F23" s="486"/>
      <c r="G23" s="486"/>
      <c r="H23" s="486"/>
      <c r="I23" s="486"/>
      <c r="J23" s="486"/>
      <c r="K23" s="486"/>
      <c r="L23" s="486"/>
      <c r="M23" s="486"/>
      <c r="N23" s="486"/>
      <c r="O23" s="486"/>
      <c r="P23" s="487"/>
      <c r="Q23" s="163"/>
      <c r="S23" s="116"/>
      <c r="T23" s="116"/>
    </row>
    <row r="24" spans="2:20" ht="12" customHeight="1">
      <c r="B24" s="162"/>
      <c r="C24" s="488"/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90"/>
      <c r="Q24" s="163"/>
      <c r="S24" s="116"/>
      <c r="T24" s="116"/>
    </row>
    <row r="25" spans="2:20" ht="12" customHeight="1">
      <c r="B25" s="162"/>
      <c r="C25" s="491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492"/>
      <c r="P25" s="493"/>
      <c r="Q25" s="163"/>
      <c r="S25" s="116"/>
      <c r="T25" s="116"/>
    </row>
    <row r="26" spans="2:20" ht="12.75" thickBot="1">
      <c r="B26" s="162"/>
      <c r="Q26" s="163"/>
      <c r="S26" s="116"/>
      <c r="T26" s="116"/>
    </row>
    <row r="27" spans="2:20" ht="6.75" customHeight="1" thickTop="1">
      <c r="B27" s="157"/>
      <c r="C27" s="158"/>
      <c r="D27" s="158"/>
      <c r="E27" s="158"/>
      <c r="F27" s="158"/>
      <c r="G27" s="159"/>
      <c r="H27" s="158"/>
      <c r="I27" s="158"/>
      <c r="J27" s="158"/>
      <c r="K27" s="158"/>
      <c r="L27" s="158"/>
      <c r="M27" s="160"/>
      <c r="N27" s="158"/>
      <c r="O27" s="160"/>
      <c r="P27" s="158"/>
      <c r="Q27" s="161"/>
      <c r="S27" s="116"/>
      <c r="T27" s="116"/>
    </row>
    <row r="28" spans="2:20" ht="12" customHeight="1">
      <c r="B28" s="162"/>
      <c r="C28" s="494" t="s">
        <v>347</v>
      </c>
      <c r="D28" s="495"/>
      <c r="E28" s="496"/>
      <c r="F28" s="179"/>
      <c r="G28" s="179"/>
      <c r="H28" s="179"/>
      <c r="I28" s="180"/>
      <c r="J28" s="179"/>
      <c r="K28" s="179"/>
      <c r="L28" s="179"/>
      <c r="M28" s="179"/>
      <c r="N28" s="179"/>
      <c r="O28" s="179"/>
      <c r="P28" s="179"/>
      <c r="Q28" s="163"/>
      <c r="S28" s="116"/>
      <c r="T28" s="116"/>
    </row>
    <row r="29" spans="2:20" ht="6.75" customHeight="1">
      <c r="B29" s="162"/>
      <c r="G29" s="116"/>
      <c r="H29" s="179"/>
      <c r="I29" s="180"/>
      <c r="J29" s="179"/>
      <c r="K29" s="179"/>
      <c r="L29" s="179"/>
      <c r="M29" s="179"/>
      <c r="N29" s="179"/>
      <c r="O29" s="179"/>
      <c r="P29" s="179"/>
      <c r="Q29" s="163"/>
      <c r="S29" s="116"/>
      <c r="T29" s="116"/>
    </row>
    <row r="30" spans="2:20" ht="12" customHeight="1">
      <c r="B30" s="162"/>
      <c r="C30" s="462" t="str">
        <f>C5</f>
        <v>INBOUD</v>
      </c>
      <c r="D30" s="463"/>
      <c r="E30" s="464"/>
      <c r="G30" s="462" t="str">
        <f>G5</f>
        <v>PLATFORM</v>
      </c>
      <c r="H30" s="463"/>
      <c r="I30" s="464"/>
      <c r="J30" s="179"/>
      <c r="K30" s="462" t="str">
        <f>K5</f>
        <v>OUTBOUD</v>
      </c>
      <c r="L30" s="463"/>
      <c r="M30" s="463"/>
      <c r="N30" s="463"/>
      <c r="O30" s="463"/>
      <c r="P30" s="464"/>
      <c r="Q30" s="163"/>
      <c r="S30" s="116"/>
      <c r="T30" s="116"/>
    </row>
    <row r="31" spans="2:20" ht="6.75" customHeight="1">
      <c r="B31" s="162"/>
      <c r="C31" s="179"/>
      <c r="D31" s="179"/>
      <c r="E31" s="179"/>
      <c r="F31" s="179"/>
      <c r="G31" s="179"/>
      <c r="H31" s="179"/>
      <c r="I31" s="179"/>
      <c r="J31" s="181"/>
      <c r="K31" s="181"/>
      <c r="L31" s="181"/>
      <c r="M31" s="181"/>
      <c r="N31" s="181"/>
      <c r="O31" s="181"/>
      <c r="P31" s="181"/>
      <c r="Q31" s="163"/>
      <c r="S31" s="116"/>
      <c r="T31" s="116"/>
    </row>
    <row r="32" spans="2:20">
      <c r="B32" s="162"/>
      <c r="C32" s="236" t="s">
        <v>348</v>
      </c>
      <c r="D32" s="188">
        <v>1</v>
      </c>
      <c r="E32" s="238" t="s">
        <v>72</v>
      </c>
      <c r="G32" s="236" t="s">
        <v>352</v>
      </c>
      <c r="H32" s="242">
        <v>5</v>
      </c>
      <c r="I32" s="241" t="s">
        <v>353</v>
      </c>
      <c r="K32" s="236" t="s">
        <v>366</v>
      </c>
      <c r="L32" s="234"/>
      <c r="M32" s="188">
        <v>1</v>
      </c>
      <c r="N32" s="238" t="s">
        <v>72</v>
      </c>
      <c r="O32" s="252"/>
      <c r="P32" s="234"/>
      <c r="Q32" s="163"/>
      <c r="S32" s="116"/>
      <c r="T32" s="116"/>
    </row>
    <row r="33" spans="2:20" ht="6.75" customHeight="1">
      <c r="B33" s="162"/>
      <c r="C33" s="237"/>
      <c r="D33" s="179"/>
      <c r="E33" s="179"/>
      <c r="F33" s="179"/>
      <c r="G33" s="235"/>
      <c r="H33" s="179"/>
      <c r="I33" s="179"/>
      <c r="J33" s="181"/>
      <c r="K33" s="237"/>
      <c r="M33" s="179"/>
      <c r="N33" s="179"/>
      <c r="Q33" s="163"/>
      <c r="S33" s="116"/>
      <c r="T33" s="116"/>
    </row>
    <row r="34" spans="2:20">
      <c r="B34" s="162"/>
      <c r="C34" s="236" t="s">
        <v>349</v>
      </c>
      <c r="D34" s="188">
        <v>20</v>
      </c>
      <c r="E34" s="238" t="s">
        <v>350</v>
      </c>
      <c r="G34" s="236" t="s">
        <v>369</v>
      </c>
      <c r="H34" s="188">
        <v>1</v>
      </c>
      <c r="I34" s="238" t="s">
        <v>72</v>
      </c>
      <c r="K34" s="236" t="s">
        <v>367</v>
      </c>
      <c r="L34" s="234"/>
      <c r="M34" s="188">
        <v>0</v>
      </c>
      <c r="N34" s="238" t="s">
        <v>368</v>
      </c>
      <c r="O34" s="252"/>
      <c r="P34" s="234"/>
      <c r="Q34" s="163"/>
      <c r="S34" s="116"/>
      <c r="T34" s="116"/>
    </row>
    <row r="35" spans="2:20" ht="6.75" customHeight="1">
      <c r="B35" s="162"/>
      <c r="C35" s="237"/>
      <c r="D35" s="179"/>
      <c r="E35" s="179"/>
      <c r="F35" s="179"/>
      <c r="G35" s="235"/>
      <c r="H35" s="179"/>
      <c r="I35" s="179"/>
      <c r="J35" s="181"/>
      <c r="K35" s="237"/>
      <c r="M35" s="179"/>
      <c r="N35" s="179"/>
      <c r="Q35" s="163"/>
      <c r="S35" s="116"/>
      <c r="T35" s="116"/>
    </row>
    <row r="36" spans="2:20">
      <c r="B36" s="162"/>
      <c r="C36" s="239"/>
      <c r="D36" s="239"/>
      <c r="E36" s="239"/>
      <c r="G36" s="245" t="s">
        <v>58</v>
      </c>
      <c r="H36" s="243" t="s">
        <v>57</v>
      </c>
      <c r="I36" s="234"/>
      <c r="K36" s="234"/>
      <c r="L36" s="234"/>
      <c r="M36" s="234"/>
      <c r="N36" s="234"/>
      <c r="O36" s="234"/>
      <c r="P36" s="234"/>
      <c r="Q36" s="163"/>
      <c r="S36" s="116"/>
      <c r="T36" s="116"/>
    </row>
    <row r="37" spans="2:20">
      <c r="B37" s="162"/>
      <c r="C37" s="155"/>
      <c r="D37" s="155"/>
      <c r="E37" s="155"/>
      <c r="G37" s="255"/>
      <c r="H37" s="256"/>
      <c r="I37" s="257"/>
      <c r="K37" s="255"/>
      <c r="L37" s="257"/>
      <c r="N37" s="256"/>
      <c r="O37" s="257"/>
      <c r="Q37" s="163"/>
      <c r="S37" s="116"/>
      <c r="T37" s="116"/>
    </row>
    <row r="38" spans="2:20">
      <c r="B38" s="162"/>
      <c r="C38" s="465" t="s">
        <v>343</v>
      </c>
      <c r="D38" s="466"/>
      <c r="E38" s="466"/>
      <c r="F38" s="466"/>
      <c r="G38" s="466"/>
      <c r="H38" s="466"/>
      <c r="I38" s="466"/>
      <c r="J38" s="466"/>
      <c r="K38" s="466"/>
      <c r="L38" s="466"/>
      <c r="M38" s="466"/>
      <c r="N38" s="466"/>
      <c r="O38" s="466"/>
      <c r="P38" s="467"/>
      <c r="Q38" s="163"/>
      <c r="S38" s="116"/>
      <c r="T38" s="116"/>
    </row>
    <row r="39" spans="2:20">
      <c r="B39" s="162"/>
      <c r="C39" s="468"/>
      <c r="D39" s="469"/>
      <c r="E39" s="469"/>
      <c r="F39" s="469"/>
      <c r="G39" s="469"/>
      <c r="H39" s="469"/>
      <c r="I39" s="469"/>
      <c r="J39" s="469"/>
      <c r="K39" s="469"/>
      <c r="L39" s="469"/>
      <c r="M39" s="469"/>
      <c r="N39" s="469"/>
      <c r="O39" s="469"/>
      <c r="P39" s="470"/>
      <c r="Q39" s="163"/>
      <c r="S39" s="116"/>
      <c r="T39" s="116"/>
    </row>
    <row r="40" spans="2:20">
      <c r="B40" s="162"/>
      <c r="C40" s="471"/>
      <c r="D40" s="472"/>
      <c r="E40" s="472"/>
      <c r="F40" s="472"/>
      <c r="G40" s="472"/>
      <c r="H40" s="472"/>
      <c r="I40" s="472"/>
      <c r="J40" s="472"/>
      <c r="K40" s="472"/>
      <c r="L40" s="472"/>
      <c r="M40" s="472"/>
      <c r="N40" s="472"/>
      <c r="O40" s="472"/>
      <c r="P40" s="473"/>
      <c r="Q40" s="163"/>
      <c r="S40" s="116"/>
      <c r="T40" s="116"/>
    </row>
    <row r="41" spans="2:20" ht="12.75" thickBot="1">
      <c r="B41" s="162"/>
      <c r="C41" s="179"/>
      <c r="D41" s="179"/>
      <c r="E41" s="179"/>
      <c r="F41" s="179"/>
      <c r="G41" s="179"/>
      <c r="H41" s="179"/>
      <c r="I41" s="179"/>
      <c r="J41" s="181"/>
      <c r="K41" s="181"/>
      <c r="L41" s="181"/>
      <c r="M41" s="181"/>
      <c r="N41" s="181"/>
      <c r="O41" s="181"/>
      <c r="P41" s="181"/>
      <c r="Q41" s="163"/>
      <c r="S41" s="116"/>
      <c r="T41" s="116"/>
    </row>
    <row r="42" spans="2:20" ht="6.75" customHeight="1" thickTop="1">
      <c r="B42" s="157"/>
      <c r="C42" s="158"/>
      <c r="D42" s="158"/>
      <c r="E42" s="158"/>
      <c r="F42" s="158"/>
      <c r="G42" s="159"/>
      <c r="H42" s="158"/>
      <c r="I42" s="158"/>
      <c r="J42" s="158"/>
      <c r="K42" s="158"/>
      <c r="L42" s="158"/>
      <c r="M42" s="160"/>
      <c r="N42" s="158"/>
      <c r="O42" s="160"/>
      <c r="P42" s="158"/>
      <c r="Q42" s="161"/>
      <c r="S42" s="116"/>
      <c r="T42" s="116"/>
    </row>
    <row r="43" spans="2:20" ht="12" customHeight="1">
      <c r="B43" s="162"/>
      <c r="C43" s="497" t="s">
        <v>436</v>
      </c>
      <c r="D43" s="498"/>
      <c r="E43" s="499"/>
      <c r="F43" s="179"/>
      <c r="G43" s="179"/>
      <c r="H43" s="179"/>
      <c r="I43" s="180"/>
      <c r="J43" s="179"/>
      <c r="K43" s="179"/>
      <c r="L43" s="179"/>
      <c r="M43" s="179"/>
      <c r="N43" s="179"/>
      <c r="O43" s="179"/>
      <c r="P43" s="179"/>
      <c r="Q43" s="163"/>
      <c r="S43" s="116"/>
      <c r="T43" s="116"/>
    </row>
    <row r="44" spans="2:20" ht="6.75" customHeight="1">
      <c r="B44" s="162"/>
      <c r="G44" s="116"/>
      <c r="H44" s="179"/>
      <c r="I44" s="180"/>
      <c r="J44" s="179"/>
      <c r="K44" s="179"/>
      <c r="L44" s="179"/>
      <c r="M44" s="179"/>
      <c r="N44" s="179"/>
      <c r="O44" s="179"/>
      <c r="P44" s="179"/>
      <c r="Q44" s="163"/>
      <c r="S44" s="116"/>
      <c r="T44" s="116"/>
    </row>
    <row r="45" spans="2:20" ht="12" customHeight="1">
      <c r="B45" s="162"/>
      <c r="C45" s="500" t="str">
        <f>C30</f>
        <v>INBOUD</v>
      </c>
      <c r="D45" s="501"/>
      <c r="E45" s="502"/>
      <c r="G45" s="500" t="str">
        <f>G30</f>
        <v>PLATFORM</v>
      </c>
      <c r="H45" s="501"/>
      <c r="I45" s="502"/>
      <c r="J45" s="179"/>
      <c r="K45" s="500" t="s">
        <v>319</v>
      </c>
      <c r="L45" s="501"/>
      <c r="M45" s="501"/>
      <c r="N45" s="501"/>
      <c r="O45" s="501"/>
      <c r="P45" s="502"/>
      <c r="Q45" s="163"/>
      <c r="S45" s="116"/>
      <c r="T45" s="116"/>
    </row>
    <row r="46" spans="2:20" ht="6.75" customHeight="1">
      <c r="B46" s="162"/>
      <c r="G46" s="116"/>
      <c r="H46" s="179"/>
      <c r="I46" s="180"/>
      <c r="J46" s="179"/>
      <c r="K46" s="179"/>
      <c r="L46" s="179"/>
      <c r="M46" s="179"/>
      <c r="N46" s="179"/>
      <c r="O46" s="179"/>
      <c r="P46" s="179"/>
      <c r="Q46" s="163"/>
      <c r="S46" s="116"/>
      <c r="T46" s="116"/>
    </row>
    <row r="47" spans="2:20" ht="6.75" customHeight="1">
      <c r="B47" s="162"/>
      <c r="G47" s="116"/>
      <c r="H47" s="179"/>
      <c r="I47" s="180"/>
      <c r="J47" s="179"/>
      <c r="K47" s="179"/>
      <c r="L47" s="179"/>
      <c r="M47" s="179"/>
      <c r="N47" s="179"/>
      <c r="O47" s="179"/>
      <c r="P47" s="179"/>
      <c r="Q47" s="163"/>
      <c r="S47" s="116"/>
      <c r="T47" s="116"/>
    </row>
    <row r="48" spans="2:20">
      <c r="B48" s="162"/>
      <c r="C48" s="327"/>
      <c r="D48" s="327"/>
      <c r="E48" s="327"/>
      <c r="G48" s="328" t="s">
        <v>56</v>
      </c>
      <c r="H48" s="331"/>
      <c r="I48" s="332"/>
      <c r="K48" s="328" t="s">
        <v>354</v>
      </c>
      <c r="L48" s="332"/>
      <c r="M48" s="333"/>
      <c r="N48" s="331" t="s">
        <v>356</v>
      </c>
      <c r="O48" s="332"/>
      <c r="P48" s="330"/>
      <c r="Q48" s="163"/>
    </row>
    <row r="49" spans="2:20" ht="6.75" customHeight="1">
      <c r="B49" s="162"/>
      <c r="C49" s="327"/>
      <c r="D49" s="327"/>
      <c r="E49" s="327"/>
      <c r="F49" s="179"/>
      <c r="G49" s="247"/>
      <c r="H49" s="249"/>
      <c r="J49" s="181"/>
      <c r="K49" s="249"/>
      <c r="L49" s="248"/>
      <c r="N49" s="250"/>
      <c r="O49" s="248"/>
      <c r="P49" s="181"/>
      <c r="Q49" s="163"/>
      <c r="S49" s="116"/>
      <c r="T49" s="116"/>
    </row>
    <row r="50" spans="2:20">
      <c r="B50" s="162"/>
      <c r="C50" s="327"/>
      <c r="D50" s="327"/>
      <c r="E50" s="327"/>
      <c r="G50" s="328" t="s">
        <v>276</v>
      </c>
      <c r="H50" s="329" t="s">
        <v>351</v>
      </c>
      <c r="I50" s="330"/>
      <c r="K50" s="328" t="s">
        <v>355</v>
      </c>
      <c r="L50" s="332"/>
      <c r="M50" s="333"/>
      <c r="N50" s="331" t="s">
        <v>357</v>
      </c>
      <c r="O50" s="332"/>
      <c r="P50" s="330"/>
      <c r="Q50" s="163"/>
      <c r="S50" s="116"/>
      <c r="T50" s="116"/>
    </row>
    <row r="51" spans="2:20">
      <c r="B51" s="162"/>
      <c r="C51" s="155"/>
      <c r="D51" s="155"/>
      <c r="E51" s="155"/>
      <c r="G51" s="255"/>
      <c r="H51" s="256"/>
      <c r="I51" s="257"/>
      <c r="K51" s="255"/>
      <c r="L51" s="257"/>
      <c r="N51" s="256"/>
      <c r="O51" s="257"/>
      <c r="Q51" s="163"/>
      <c r="S51" s="116"/>
      <c r="T51" s="116"/>
    </row>
    <row r="52" spans="2:20">
      <c r="B52" s="162"/>
      <c r="C52" s="503" t="s">
        <v>343</v>
      </c>
      <c r="D52" s="504"/>
      <c r="E52" s="504"/>
      <c r="F52" s="504"/>
      <c r="G52" s="504"/>
      <c r="H52" s="504"/>
      <c r="I52" s="504"/>
      <c r="J52" s="504"/>
      <c r="K52" s="504"/>
      <c r="L52" s="504"/>
      <c r="M52" s="504"/>
      <c r="N52" s="504"/>
      <c r="O52" s="504"/>
      <c r="P52" s="505"/>
      <c r="Q52" s="163"/>
      <c r="S52" s="116"/>
      <c r="T52" s="116"/>
    </row>
    <row r="53" spans="2:20">
      <c r="B53" s="162"/>
      <c r="C53" s="506"/>
      <c r="D53" s="507"/>
      <c r="E53" s="507"/>
      <c r="F53" s="507"/>
      <c r="G53" s="507"/>
      <c r="H53" s="507"/>
      <c r="I53" s="507"/>
      <c r="J53" s="507"/>
      <c r="K53" s="507"/>
      <c r="L53" s="507"/>
      <c r="M53" s="507"/>
      <c r="N53" s="507"/>
      <c r="O53" s="507"/>
      <c r="P53" s="508"/>
      <c r="Q53" s="163"/>
      <c r="S53" s="116"/>
      <c r="T53" s="116"/>
    </row>
    <row r="54" spans="2:20">
      <c r="B54" s="162"/>
      <c r="C54" s="509"/>
      <c r="D54" s="510"/>
      <c r="E54" s="510"/>
      <c r="F54" s="510"/>
      <c r="G54" s="510"/>
      <c r="H54" s="510"/>
      <c r="I54" s="510"/>
      <c r="J54" s="510"/>
      <c r="K54" s="510"/>
      <c r="L54" s="510"/>
      <c r="M54" s="510"/>
      <c r="N54" s="510"/>
      <c r="O54" s="510"/>
      <c r="P54" s="511"/>
      <c r="Q54" s="163"/>
      <c r="S54" s="116"/>
      <c r="T54" s="116"/>
    </row>
    <row r="55" spans="2:20" ht="12.75" thickBot="1">
      <c r="B55" s="162"/>
      <c r="C55" s="179"/>
      <c r="D55" s="179"/>
      <c r="E55" s="179"/>
      <c r="F55" s="179"/>
      <c r="G55" s="179"/>
      <c r="H55" s="179"/>
      <c r="I55" s="179"/>
      <c r="J55" s="181"/>
      <c r="K55" s="181"/>
      <c r="L55" s="181"/>
      <c r="M55" s="181"/>
      <c r="N55" s="181"/>
      <c r="O55" s="181"/>
      <c r="P55" s="181"/>
      <c r="Q55" s="163"/>
      <c r="S55" s="116"/>
      <c r="T55" s="116"/>
    </row>
    <row r="56" spans="2:20" ht="6.75" customHeight="1" thickTop="1">
      <c r="B56" s="260"/>
      <c r="C56" s="261"/>
      <c r="D56" s="261"/>
      <c r="E56" s="261"/>
      <c r="F56" s="261"/>
      <c r="G56" s="262"/>
      <c r="H56" s="261"/>
      <c r="I56" s="261"/>
      <c r="J56" s="261"/>
      <c r="K56" s="261"/>
      <c r="L56" s="261"/>
      <c r="M56" s="263"/>
      <c r="N56" s="261"/>
      <c r="O56" s="263"/>
      <c r="P56" s="261"/>
      <c r="Q56" s="264"/>
      <c r="S56" s="116"/>
      <c r="T56" s="116"/>
    </row>
    <row r="57" spans="2:20" ht="12" customHeight="1">
      <c r="B57" s="164"/>
      <c r="C57" s="494" t="s">
        <v>344</v>
      </c>
      <c r="D57" s="495"/>
      <c r="E57" s="496"/>
      <c r="F57" s="179"/>
      <c r="G57" s="179"/>
      <c r="H57" s="179"/>
      <c r="I57" s="180"/>
      <c r="J57" s="179"/>
      <c r="K57" s="179"/>
      <c r="L57" s="179"/>
      <c r="M57" s="179"/>
      <c r="N57" s="179"/>
      <c r="O57" s="179"/>
      <c r="P57" s="179"/>
      <c r="Q57" s="165"/>
      <c r="S57" s="116"/>
      <c r="T57" s="116"/>
    </row>
    <row r="58" spans="2:20" ht="6.75" customHeight="1">
      <c r="B58" s="164"/>
      <c r="G58" s="116"/>
      <c r="H58" s="179"/>
      <c r="I58" s="180"/>
      <c r="J58" s="179"/>
      <c r="K58" s="179"/>
      <c r="L58" s="179"/>
      <c r="M58" s="179"/>
      <c r="N58" s="179"/>
      <c r="O58" s="179"/>
      <c r="P58" s="179"/>
      <c r="Q58" s="165"/>
      <c r="S58" s="116"/>
      <c r="T58" s="116"/>
    </row>
    <row r="59" spans="2:20" ht="12" customHeight="1">
      <c r="B59" s="164"/>
      <c r="C59" s="462" t="s">
        <v>28</v>
      </c>
      <c r="D59" s="463"/>
      <c r="E59" s="464"/>
      <c r="G59" s="462" t="s">
        <v>29</v>
      </c>
      <c r="H59" s="463"/>
      <c r="I59" s="464"/>
      <c r="J59" s="179"/>
      <c r="K59" s="462" t="s">
        <v>73</v>
      </c>
      <c r="L59" s="463"/>
      <c r="M59" s="463"/>
      <c r="N59" s="463"/>
      <c r="O59" s="463"/>
      <c r="P59" s="464"/>
      <c r="Q59" s="165"/>
      <c r="S59" s="116"/>
      <c r="T59" s="116"/>
    </row>
    <row r="60" spans="2:20" ht="6.75" customHeight="1">
      <c r="B60" s="164"/>
      <c r="C60" s="179"/>
      <c r="D60" s="179"/>
      <c r="E60" s="179"/>
      <c r="F60" s="179"/>
      <c r="G60" s="179"/>
      <c r="H60" s="179"/>
      <c r="I60" s="179"/>
      <c r="J60" s="181"/>
      <c r="K60" s="181"/>
      <c r="L60" s="181"/>
      <c r="M60" s="181"/>
      <c r="N60" s="181"/>
      <c r="O60" s="181"/>
      <c r="P60" s="181"/>
      <c r="Q60" s="165"/>
      <c r="S60" s="116"/>
      <c r="T60" s="116"/>
    </row>
    <row r="61" spans="2:20">
      <c r="B61" s="164"/>
      <c r="C61" s="236" t="s">
        <v>345</v>
      </c>
      <c r="D61" s="188">
        <v>30</v>
      </c>
      <c r="E61" s="238" t="s">
        <v>358</v>
      </c>
      <c r="G61" s="240" t="s">
        <v>370</v>
      </c>
      <c r="H61" s="188">
        <v>60</v>
      </c>
      <c r="I61" s="238" t="s">
        <v>437</v>
      </c>
      <c r="K61" s="236" t="s">
        <v>371</v>
      </c>
      <c r="L61" s="234"/>
      <c r="M61" s="188">
        <v>0</v>
      </c>
      <c r="N61" s="238" t="s">
        <v>72</v>
      </c>
      <c r="O61" s="252"/>
      <c r="P61" s="234"/>
      <c r="Q61" s="165"/>
      <c r="S61" s="116"/>
      <c r="T61" s="116"/>
    </row>
    <row r="62" spans="2:20" ht="6.75" customHeight="1">
      <c r="B62" s="164"/>
      <c r="C62" s="237"/>
      <c r="D62" s="179"/>
      <c r="E62" s="179"/>
      <c r="F62" s="179"/>
      <c r="G62" s="253"/>
      <c r="H62" s="179"/>
      <c r="I62" s="179"/>
      <c r="J62" s="181"/>
      <c r="K62" s="237"/>
      <c r="M62" s="179"/>
      <c r="N62" s="179"/>
      <c r="P62" s="181"/>
      <c r="Q62" s="165"/>
      <c r="S62" s="116"/>
      <c r="T62" s="116"/>
    </row>
    <row r="63" spans="2:20">
      <c r="B63" s="164"/>
      <c r="C63" s="236" t="s">
        <v>346</v>
      </c>
      <c r="D63" s="188">
        <v>50</v>
      </c>
      <c r="E63" s="238" t="s">
        <v>359</v>
      </c>
      <c r="G63" s="240" t="s">
        <v>365</v>
      </c>
      <c r="H63" s="234"/>
      <c r="I63" s="234"/>
      <c r="K63" s="236" t="s">
        <v>77</v>
      </c>
      <c r="L63" s="234"/>
      <c r="M63" s="188">
        <v>0</v>
      </c>
      <c r="N63" s="238" t="s">
        <v>368</v>
      </c>
      <c r="O63" s="252"/>
      <c r="P63" s="234"/>
      <c r="Q63" s="165"/>
      <c r="S63" s="116"/>
      <c r="T63" s="116"/>
    </row>
    <row r="64" spans="2:20" ht="6.75" customHeight="1">
      <c r="B64" s="164"/>
      <c r="C64" s="179"/>
      <c r="D64" s="179"/>
      <c r="E64" s="179"/>
      <c r="F64" s="179"/>
      <c r="G64" s="253"/>
      <c r="H64" s="179"/>
      <c r="I64" s="179"/>
      <c r="J64" s="181"/>
      <c r="K64" s="181"/>
      <c r="L64" s="181"/>
      <c r="M64" s="181"/>
      <c r="N64" s="181"/>
      <c r="O64" s="181"/>
      <c r="P64" s="181"/>
      <c r="Q64" s="165"/>
      <c r="S64" s="116"/>
      <c r="T64" s="116"/>
    </row>
    <row r="65" spans="2:20">
      <c r="B65" s="164"/>
      <c r="C65" s="234"/>
      <c r="D65" s="234"/>
      <c r="E65" s="234"/>
      <c r="G65" s="254" t="s">
        <v>75</v>
      </c>
      <c r="H65" s="234"/>
      <c r="I65" s="234"/>
      <c r="K65" s="236" t="s">
        <v>50</v>
      </c>
      <c r="L65" s="234"/>
      <c r="M65" s="188">
        <v>0</v>
      </c>
      <c r="N65" s="238" t="s">
        <v>368</v>
      </c>
      <c r="O65" s="252"/>
      <c r="P65" s="234"/>
      <c r="Q65" s="165"/>
      <c r="S65" s="116"/>
      <c r="T65" s="116"/>
    </row>
    <row r="66" spans="2:20" ht="6.75" customHeight="1">
      <c r="B66" s="164"/>
      <c r="C66" s="179"/>
      <c r="D66" s="179"/>
      <c r="E66" s="179"/>
      <c r="F66" s="179"/>
      <c r="G66" s="253"/>
      <c r="H66" s="179"/>
      <c r="I66" s="179"/>
      <c r="J66" s="181"/>
      <c r="K66" s="181"/>
      <c r="L66" s="181"/>
      <c r="M66" s="181"/>
      <c r="N66" s="181"/>
      <c r="O66" s="181"/>
      <c r="P66" s="181"/>
      <c r="Q66" s="165"/>
      <c r="S66" s="116"/>
      <c r="T66" s="116"/>
    </row>
    <row r="67" spans="2:20">
      <c r="B67" s="164"/>
      <c r="C67" s="234"/>
      <c r="D67" s="234"/>
      <c r="E67" s="234"/>
      <c r="G67" s="240" t="s">
        <v>76</v>
      </c>
      <c r="H67" s="234"/>
      <c r="I67" s="234"/>
      <c r="K67" s="244" t="s">
        <v>372</v>
      </c>
      <c r="L67" s="246"/>
      <c r="M67" s="258">
        <v>12</v>
      </c>
      <c r="N67" s="259" t="s">
        <v>373</v>
      </c>
      <c r="O67" s="258">
        <v>46</v>
      </c>
      <c r="P67" s="246"/>
      <c r="Q67" s="165"/>
      <c r="S67" s="116"/>
      <c r="T67" s="116"/>
    </row>
    <row r="68" spans="2:20" ht="6.75" customHeight="1">
      <c r="B68" s="164"/>
      <c r="C68" s="179"/>
      <c r="D68" s="179"/>
      <c r="E68" s="179"/>
      <c r="F68" s="179"/>
      <c r="G68" s="179"/>
      <c r="H68" s="179"/>
      <c r="I68" s="179"/>
      <c r="J68" s="181"/>
      <c r="K68" s="181"/>
      <c r="L68" s="181"/>
      <c r="M68" s="181"/>
      <c r="N68" s="181"/>
      <c r="O68" s="181"/>
      <c r="P68" s="181"/>
      <c r="Q68" s="165"/>
      <c r="S68" s="116"/>
      <c r="T68" s="116"/>
    </row>
    <row r="69" spans="2:20">
      <c r="B69" s="164"/>
      <c r="C69" s="234"/>
      <c r="D69" s="234"/>
      <c r="E69" s="234"/>
      <c r="G69" s="234"/>
      <c r="H69" s="234"/>
      <c r="I69" s="234"/>
      <c r="K69" s="234"/>
      <c r="L69" s="234"/>
      <c r="M69" s="234"/>
      <c r="N69" s="234"/>
      <c r="O69" s="234"/>
      <c r="P69" s="234"/>
      <c r="Q69" s="165"/>
      <c r="S69" s="116"/>
      <c r="T69" s="116"/>
    </row>
    <row r="70" spans="2:20">
      <c r="B70" s="164"/>
      <c r="C70" s="155"/>
      <c r="D70" s="155"/>
      <c r="E70" s="155"/>
      <c r="G70" s="255"/>
      <c r="H70" s="256"/>
      <c r="I70" s="257"/>
      <c r="K70" s="255"/>
      <c r="L70" s="257"/>
      <c r="N70" s="256"/>
      <c r="O70" s="257"/>
      <c r="Q70" s="165"/>
      <c r="S70" s="116"/>
      <c r="T70" s="116"/>
    </row>
    <row r="71" spans="2:20">
      <c r="B71" s="164"/>
      <c r="C71" s="465" t="s">
        <v>343</v>
      </c>
      <c r="D71" s="466"/>
      <c r="E71" s="466"/>
      <c r="F71" s="466"/>
      <c r="G71" s="466"/>
      <c r="H71" s="466"/>
      <c r="I71" s="466"/>
      <c r="J71" s="466"/>
      <c r="K71" s="466"/>
      <c r="L71" s="466"/>
      <c r="M71" s="466"/>
      <c r="N71" s="466"/>
      <c r="O71" s="466"/>
      <c r="P71" s="467"/>
      <c r="Q71" s="165"/>
      <c r="S71" s="116"/>
      <c r="T71" s="116"/>
    </row>
    <row r="72" spans="2:20">
      <c r="B72" s="164"/>
      <c r="C72" s="468"/>
      <c r="D72" s="469"/>
      <c r="E72" s="469"/>
      <c r="F72" s="469"/>
      <c r="G72" s="469"/>
      <c r="H72" s="469"/>
      <c r="I72" s="469"/>
      <c r="J72" s="469"/>
      <c r="K72" s="469"/>
      <c r="L72" s="469"/>
      <c r="M72" s="469"/>
      <c r="N72" s="469"/>
      <c r="O72" s="469"/>
      <c r="P72" s="470"/>
      <c r="Q72" s="165"/>
      <c r="S72" s="116"/>
      <c r="T72" s="116"/>
    </row>
    <row r="73" spans="2:20">
      <c r="B73" s="164"/>
      <c r="C73" s="471"/>
      <c r="D73" s="472"/>
      <c r="E73" s="472"/>
      <c r="F73" s="472"/>
      <c r="G73" s="472"/>
      <c r="H73" s="472"/>
      <c r="I73" s="472"/>
      <c r="J73" s="472"/>
      <c r="K73" s="472"/>
      <c r="L73" s="472"/>
      <c r="M73" s="472"/>
      <c r="N73" s="472"/>
      <c r="O73" s="472"/>
      <c r="P73" s="473"/>
      <c r="Q73" s="165"/>
      <c r="S73" s="116"/>
      <c r="T73" s="116"/>
    </row>
    <row r="74" spans="2:20" ht="12.75" thickBot="1">
      <c r="B74" s="265"/>
      <c r="C74" s="266"/>
      <c r="D74" s="266"/>
      <c r="E74" s="266"/>
      <c r="F74" s="266"/>
      <c r="G74" s="266"/>
      <c r="H74" s="266"/>
      <c r="I74" s="266"/>
      <c r="J74" s="267"/>
      <c r="K74" s="267"/>
      <c r="L74" s="267"/>
      <c r="M74" s="267"/>
      <c r="N74" s="267"/>
      <c r="O74" s="267"/>
      <c r="P74" s="267"/>
      <c r="Q74" s="268"/>
      <c r="S74" s="116"/>
      <c r="T74" s="116"/>
    </row>
    <row r="75" spans="2:20" ht="6.75" customHeight="1" thickTop="1">
      <c r="B75" s="260"/>
      <c r="C75" s="261"/>
      <c r="D75" s="261"/>
      <c r="E75" s="261"/>
      <c r="F75" s="261"/>
      <c r="G75" s="262"/>
      <c r="H75" s="261"/>
      <c r="I75" s="261"/>
      <c r="J75" s="261"/>
      <c r="K75" s="261"/>
      <c r="L75" s="261"/>
      <c r="M75" s="263"/>
      <c r="N75" s="261"/>
      <c r="O75" s="263"/>
      <c r="P75" s="261"/>
      <c r="Q75" s="264"/>
      <c r="S75" s="116"/>
      <c r="T75" s="116"/>
    </row>
    <row r="76" spans="2:20" ht="12" customHeight="1">
      <c r="B76" s="164"/>
      <c r="C76" s="476" t="s">
        <v>374</v>
      </c>
      <c r="D76" s="477"/>
      <c r="E76" s="478"/>
      <c r="F76" s="179"/>
      <c r="G76" s="179"/>
      <c r="H76" s="179"/>
      <c r="I76" s="180"/>
      <c r="J76" s="179"/>
      <c r="K76" s="179"/>
      <c r="L76" s="179"/>
      <c r="M76" s="179"/>
      <c r="N76" s="179"/>
      <c r="O76" s="179"/>
      <c r="P76" s="179"/>
      <c r="Q76" s="165"/>
      <c r="S76" s="116"/>
      <c r="T76" s="116"/>
    </row>
    <row r="77" spans="2:20" ht="6.75" customHeight="1">
      <c r="B77" s="164"/>
      <c r="G77" s="116"/>
      <c r="H77" s="179"/>
      <c r="I77" s="180"/>
      <c r="J77" s="179"/>
      <c r="K77" s="179"/>
      <c r="L77" s="179"/>
      <c r="M77" s="179"/>
      <c r="N77" s="179"/>
      <c r="O77" s="179"/>
      <c r="P77" s="179"/>
      <c r="Q77" s="165"/>
      <c r="S77" s="116"/>
      <c r="T77" s="116"/>
    </row>
    <row r="78" spans="2:20" ht="12" customHeight="1">
      <c r="B78" s="164"/>
      <c r="C78" s="474" t="s">
        <v>84</v>
      </c>
      <c r="D78" s="474"/>
      <c r="E78" s="475"/>
      <c r="G78" s="474" t="s">
        <v>85</v>
      </c>
      <c r="H78" s="474"/>
      <c r="I78" s="475"/>
      <c r="J78" s="179"/>
      <c r="K78" s="474" t="s">
        <v>86</v>
      </c>
      <c r="L78" s="474"/>
      <c r="M78" s="474"/>
      <c r="N78" s="474"/>
      <c r="O78" s="474"/>
      <c r="P78" s="475"/>
      <c r="Q78" s="165"/>
      <c r="S78" s="116"/>
      <c r="T78" s="116"/>
    </row>
    <row r="79" spans="2:20" ht="6.75" customHeight="1">
      <c r="B79" s="164"/>
      <c r="C79" s="179"/>
      <c r="D79" s="179"/>
      <c r="E79" s="179"/>
      <c r="F79" s="179"/>
      <c r="G79" s="179"/>
      <c r="H79" s="179"/>
      <c r="I79" s="179"/>
      <c r="J79" s="181"/>
      <c r="K79" s="181"/>
      <c r="L79" s="181"/>
      <c r="M79" s="181"/>
      <c r="N79" s="181"/>
      <c r="O79" s="181"/>
      <c r="P79" s="181"/>
      <c r="Q79" s="165"/>
      <c r="S79" s="116"/>
      <c r="T79" s="116"/>
    </row>
    <row r="80" spans="2:20">
      <c r="B80" s="164"/>
      <c r="C80" s="270"/>
      <c r="D80" s="271"/>
      <c r="E80" s="271"/>
      <c r="G80" s="272" t="s">
        <v>375</v>
      </c>
      <c r="H80" s="273">
        <v>600000</v>
      </c>
      <c r="I80" s="271" t="s">
        <v>376</v>
      </c>
      <c r="K80" s="270" t="s">
        <v>377</v>
      </c>
      <c r="L80" s="275"/>
      <c r="M80" s="273">
        <f>M19+O19</f>
        <v>320000</v>
      </c>
      <c r="N80" s="271" t="s">
        <v>376</v>
      </c>
      <c r="O80" s="274"/>
      <c r="P80" s="275"/>
      <c r="Q80" s="165"/>
      <c r="S80" s="116"/>
      <c r="T80" s="116"/>
    </row>
    <row r="81" spans="2:26" ht="6.75" customHeight="1">
      <c r="B81" s="164"/>
      <c r="C81" s="237"/>
      <c r="D81" s="179"/>
      <c r="E81" s="179"/>
      <c r="F81" s="179"/>
      <c r="G81" s="253"/>
      <c r="H81" s="179"/>
      <c r="I81" s="179"/>
      <c r="J81" s="181"/>
      <c r="K81" s="237"/>
      <c r="M81" s="179"/>
      <c r="N81" s="179"/>
      <c r="P81" s="181"/>
      <c r="Q81" s="165"/>
      <c r="S81" s="116"/>
      <c r="T81" s="116"/>
    </row>
    <row r="82" spans="2:26">
      <c r="B82" s="162"/>
      <c r="C82" s="270" t="s">
        <v>378</v>
      </c>
      <c r="D82" s="188">
        <v>30</v>
      </c>
      <c r="E82" s="271" t="s">
        <v>379</v>
      </c>
      <c r="G82" s="271"/>
      <c r="H82" s="271"/>
      <c r="I82" s="271"/>
      <c r="K82" s="270"/>
      <c r="L82" s="270" t="s">
        <v>378</v>
      </c>
      <c r="M82" s="188">
        <v>90</v>
      </c>
      <c r="N82" s="271" t="s">
        <v>380</v>
      </c>
      <c r="O82" s="271"/>
      <c r="P82" s="271"/>
      <c r="Q82" s="163"/>
      <c r="S82" s="116"/>
      <c r="T82" s="116"/>
    </row>
    <row r="83" spans="2:26" ht="6.75" customHeight="1">
      <c r="B83" s="164"/>
      <c r="C83" s="237"/>
      <c r="D83" s="179"/>
      <c r="E83" s="179"/>
      <c r="F83" s="179"/>
      <c r="G83" s="253"/>
      <c r="H83" s="179"/>
      <c r="I83" s="179"/>
      <c r="J83" s="181"/>
      <c r="K83" s="237"/>
      <c r="M83" s="179"/>
      <c r="N83" s="179"/>
      <c r="P83" s="181"/>
      <c r="Q83" s="165"/>
      <c r="S83" s="116"/>
      <c r="T83" s="116"/>
    </row>
    <row r="84" spans="2:26">
      <c r="B84" s="164"/>
      <c r="C84" s="453" t="s">
        <v>343</v>
      </c>
      <c r="D84" s="454"/>
      <c r="E84" s="454"/>
      <c r="F84" s="454"/>
      <c r="G84" s="454"/>
      <c r="H84" s="454"/>
      <c r="I84" s="454"/>
      <c r="J84" s="454"/>
      <c r="K84" s="454"/>
      <c r="L84" s="454"/>
      <c r="M84" s="454"/>
      <c r="N84" s="454"/>
      <c r="O84" s="454"/>
      <c r="P84" s="455"/>
      <c r="Q84" s="165"/>
      <c r="S84" s="116"/>
      <c r="T84" s="116"/>
    </row>
    <row r="85" spans="2:26">
      <c r="B85" s="164"/>
      <c r="C85" s="456"/>
      <c r="D85" s="457"/>
      <c r="E85" s="457"/>
      <c r="F85" s="457"/>
      <c r="G85" s="457"/>
      <c r="H85" s="457"/>
      <c r="I85" s="457"/>
      <c r="J85" s="457"/>
      <c r="K85" s="457"/>
      <c r="L85" s="457"/>
      <c r="M85" s="457"/>
      <c r="N85" s="457"/>
      <c r="O85" s="457"/>
      <c r="P85" s="458"/>
      <c r="Q85" s="165"/>
      <c r="S85" s="116"/>
      <c r="T85" s="116"/>
    </row>
    <row r="86" spans="2:26">
      <c r="B86" s="164"/>
      <c r="C86" s="459"/>
      <c r="D86" s="460"/>
      <c r="E86" s="460"/>
      <c r="F86" s="460"/>
      <c r="G86" s="460"/>
      <c r="H86" s="460"/>
      <c r="I86" s="460"/>
      <c r="J86" s="460"/>
      <c r="K86" s="460"/>
      <c r="L86" s="460"/>
      <c r="M86" s="460"/>
      <c r="N86" s="460"/>
      <c r="O86" s="460"/>
      <c r="P86" s="461"/>
      <c r="Q86" s="165"/>
      <c r="S86" s="116"/>
      <c r="T86" s="116"/>
    </row>
    <row r="87" spans="2:26" ht="12.75" thickBot="1">
      <c r="B87" s="166"/>
      <c r="C87" s="167"/>
      <c r="D87" s="167"/>
      <c r="E87" s="167"/>
      <c r="F87" s="167"/>
      <c r="G87" s="168"/>
      <c r="H87" s="167"/>
      <c r="I87" s="167"/>
      <c r="Q87" s="163"/>
      <c r="S87" s="116"/>
      <c r="T87" s="116"/>
    </row>
    <row r="88" spans="2:26" ht="12.75" thickTop="1">
      <c r="B88" s="157"/>
      <c r="C88" s="158"/>
      <c r="D88" s="158"/>
      <c r="E88" s="158"/>
      <c r="F88" s="158"/>
      <c r="G88" s="159"/>
      <c r="H88" s="158"/>
      <c r="I88" s="158"/>
      <c r="J88" s="158"/>
      <c r="K88" s="158"/>
      <c r="L88" s="158"/>
      <c r="M88" s="160"/>
      <c r="N88" s="158"/>
      <c r="O88" s="160"/>
      <c r="P88" s="158"/>
      <c r="Q88" s="161"/>
      <c r="S88" s="116"/>
      <c r="T88" s="116"/>
    </row>
    <row r="89" spans="2:26" ht="12.75" customHeight="1">
      <c r="B89" s="162"/>
      <c r="C89" s="276"/>
      <c r="D89" s="169"/>
      <c r="E89" s="169"/>
      <c r="F89" s="169"/>
      <c r="G89" s="169"/>
      <c r="H89" s="170"/>
      <c r="I89" s="155"/>
      <c r="J89" s="155"/>
      <c r="K89" s="171" t="s">
        <v>109</v>
      </c>
      <c r="L89" s="173"/>
      <c r="M89" s="172"/>
      <c r="N89" s="173"/>
      <c r="O89" s="172"/>
      <c r="P89" s="173"/>
      <c r="Q89" s="163"/>
      <c r="S89" s="116"/>
      <c r="T89" s="116"/>
    </row>
    <row r="90" spans="2:26" ht="12.75" thickBot="1">
      <c r="B90" s="166"/>
      <c r="C90" s="167"/>
      <c r="D90" s="167"/>
      <c r="E90" s="167"/>
      <c r="F90" s="167"/>
      <c r="G90" s="168"/>
      <c r="H90" s="167"/>
      <c r="I90" s="167"/>
      <c r="J90" s="167"/>
      <c r="K90" s="167"/>
      <c r="L90" s="167"/>
      <c r="M90" s="174"/>
      <c r="N90" s="167"/>
      <c r="O90" s="174"/>
      <c r="P90" s="167"/>
      <c r="Q90" s="175"/>
      <c r="S90" s="116"/>
      <c r="T90" s="116"/>
    </row>
    <row r="91" spans="2:26" ht="12.75" thickTop="1">
      <c r="S91" s="116"/>
      <c r="T91" s="116"/>
    </row>
    <row r="92" spans="2:26">
      <c r="U92" s="177"/>
      <c r="V92" s="177"/>
      <c r="W92" s="177"/>
      <c r="X92" s="177"/>
      <c r="Y92" s="177"/>
      <c r="Z92" s="177"/>
    </row>
    <row r="93" spans="2:26">
      <c r="F93" s="156"/>
      <c r="H93" s="156"/>
      <c r="I93" s="156"/>
      <c r="J93" s="156"/>
      <c r="K93" s="156"/>
      <c r="L93" s="156"/>
      <c r="N93" s="156"/>
      <c r="P93" s="156"/>
      <c r="U93" s="177"/>
      <c r="V93" s="177"/>
      <c r="W93" s="177"/>
      <c r="X93" s="177"/>
      <c r="Y93" s="177"/>
      <c r="Z93" s="177"/>
    </row>
    <row r="94" spans="2:26">
      <c r="F94" s="156"/>
      <c r="H94" s="156"/>
      <c r="I94" s="156"/>
      <c r="J94" s="156"/>
      <c r="K94" s="156"/>
      <c r="L94" s="156"/>
      <c r="N94" s="156"/>
      <c r="P94" s="156"/>
      <c r="U94" s="177"/>
      <c r="V94" s="177"/>
      <c r="W94" s="177"/>
      <c r="X94" s="177"/>
      <c r="Y94" s="177"/>
      <c r="Z94" s="177"/>
    </row>
    <row r="95" spans="2:26">
      <c r="F95" s="156"/>
      <c r="H95" s="156"/>
      <c r="I95" s="156"/>
      <c r="J95" s="156"/>
      <c r="K95" s="156"/>
      <c r="L95" s="156"/>
      <c r="N95" s="156"/>
      <c r="P95" s="156"/>
      <c r="U95" s="177"/>
      <c r="V95" s="177"/>
      <c r="W95" s="177"/>
      <c r="X95" s="177"/>
      <c r="Y95" s="177"/>
      <c r="Z95" s="177"/>
    </row>
    <row r="96" spans="2:26">
      <c r="F96" s="156"/>
      <c r="H96" s="156"/>
      <c r="I96" s="156"/>
      <c r="J96" s="156"/>
      <c r="K96" s="156"/>
      <c r="L96" s="156"/>
      <c r="N96" s="156"/>
      <c r="P96" s="156"/>
    </row>
    <row r="97" spans="1:26">
      <c r="F97" s="156"/>
      <c r="H97" s="156"/>
      <c r="I97" s="156"/>
      <c r="J97" s="156"/>
      <c r="K97" s="156"/>
      <c r="L97" s="156"/>
      <c r="N97" s="156"/>
      <c r="P97" s="156"/>
    </row>
    <row r="98" spans="1:26">
      <c r="F98" s="156"/>
      <c r="H98" s="156"/>
      <c r="I98" s="156"/>
      <c r="J98" s="156"/>
      <c r="K98" s="156"/>
      <c r="L98" s="156"/>
      <c r="N98" s="156"/>
      <c r="P98" s="156"/>
    </row>
    <row r="99" spans="1:26">
      <c r="F99" s="156"/>
      <c r="H99" s="156"/>
      <c r="I99" s="156"/>
      <c r="J99" s="156"/>
      <c r="K99" s="156"/>
      <c r="L99" s="156"/>
      <c r="N99" s="156"/>
      <c r="P99" s="156"/>
    </row>
    <row r="100" spans="1:26">
      <c r="F100" s="156"/>
      <c r="H100" s="156"/>
      <c r="I100" s="156"/>
      <c r="J100" s="156"/>
      <c r="K100" s="156"/>
      <c r="L100" s="156"/>
      <c r="N100" s="156"/>
      <c r="P100" s="156"/>
    </row>
    <row r="101" spans="1:26">
      <c r="F101" s="156"/>
      <c r="H101" s="156"/>
      <c r="I101" s="156"/>
      <c r="J101" s="156"/>
      <c r="K101" s="156"/>
      <c r="L101" s="156"/>
      <c r="N101" s="156"/>
      <c r="P101" s="156"/>
    </row>
    <row r="102" spans="1:26">
      <c r="F102" s="156"/>
      <c r="H102" s="156"/>
      <c r="I102" s="156"/>
      <c r="J102" s="156"/>
      <c r="K102" s="156"/>
      <c r="L102" s="156"/>
      <c r="N102" s="156"/>
      <c r="P102" s="156"/>
    </row>
    <row r="103" spans="1:26">
      <c r="F103" s="156"/>
      <c r="H103" s="156"/>
      <c r="I103" s="156"/>
      <c r="J103" s="156"/>
      <c r="K103" s="156"/>
      <c r="L103" s="156"/>
      <c r="N103" s="156"/>
      <c r="P103" s="156"/>
    </row>
    <row r="104" spans="1:26">
      <c r="F104" s="156"/>
      <c r="H104" s="156"/>
      <c r="I104" s="156"/>
      <c r="J104" s="156"/>
      <c r="K104" s="156"/>
      <c r="L104" s="156"/>
      <c r="N104" s="156"/>
      <c r="P104" s="156"/>
    </row>
    <row r="105" spans="1:26">
      <c r="F105" s="156"/>
      <c r="H105" s="156"/>
      <c r="I105" s="156"/>
      <c r="J105" s="156"/>
      <c r="K105" s="156"/>
      <c r="L105" s="156"/>
      <c r="N105" s="156"/>
      <c r="P105" s="156"/>
    </row>
    <row r="106" spans="1:26" s="155" customFormat="1">
      <c r="A106" s="116"/>
      <c r="B106" s="116"/>
      <c r="C106" s="116"/>
      <c r="D106" s="116"/>
      <c r="E106" s="116"/>
      <c r="F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16"/>
      <c r="R106" s="116"/>
      <c r="S106" s="176"/>
      <c r="T106" s="176"/>
      <c r="U106" s="116"/>
      <c r="V106" s="116"/>
      <c r="W106" s="116"/>
      <c r="X106" s="116"/>
      <c r="Y106" s="116"/>
      <c r="Z106" s="116"/>
    </row>
    <row r="107" spans="1:26" s="155" customFormat="1">
      <c r="A107" s="116"/>
      <c r="B107" s="116"/>
      <c r="C107" s="116"/>
      <c r="D107" s="116"/>
      <c r="E107" s="116"/>
      <c r="F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16"/>
      <c r="R107" s="116"/>
      <c r="S107" s="176"/>
      <c r="T107" s="176"/>
      <c r="U107" s="116"/>
      <c r="V107" s="116"/>
      <c r="W107" s="116"/>
      <c r="X107" s="116"/>
      <c r="Y107" s="116"/>
      <c r="Z107" s="116"/>
    </row>
    <row r="108" spans="1:26" s="155" customFormat="1">
      <c r="A108" s="116"/>
      <c r="B108" s="116"/>
      <c r="C108" s="116"/>
      <c r="D108" s="116"/>
      <c r="E108" s="116"/>
      <c r="F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16"/>
      <c r="R108" s="116"/>
      <c r="S108" s="176"/>
      <c r="T108" s="176"/>
      <c r="U108" s="116"/>
      <c r="V108" s="116"/>
      <c r="W108" s="116"/>
      <c r="X108" s="116"/>
      <c r="Y108" s="116"/>
      <c r="Z108" s="116"/>
    </row>
    <row r="109" spans="1:26" s="155" customFormat="1">
      <c r="A109" s="116"/>
      <c r="B109" s="116"/>
      <c r="C109" s="116"/>
      <c r="D109" s="116"/>
      <c r="E109" s="116"/>
      <c r="F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16"/>
      <c r="R109" s="116"/>
      <c r="S109" s="176"/>
      <c r="T109" s="176"/>
      <c r="U109" s="116"/>
      <c r="V109" s="116"/>
      <c r="W109" s="116"/>
      <c r="X109" s="116"/>
      <c r="Y109" s="116"/>
      <c r="Z109" s="116"/>
    </row>
    <row r="110" spans="1:26" s="155" customFormat="1">
      <c r="A110" s="116"/>
      <c r="B110" s="116"/>
      <c r="C110" s="116"/>
      <c r="D110" s="116"/>
      <c r="E110" s="116"/>
      <c r="F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16"/>
      <c r="R110" s="116"/>
      <c r="S110" s="176"/>
      <c r="T110" s="176"/>
      <c r="U110" s="116"/>
      <c r="V110" s="116"/>
      <c r="W110" s="116"/>
      <c r="X110" s="116"/>
      <c r="Y110" s="116"/>
      <c r="Z110" s="116"/>
    </row>
    <row r="111" spans="1:26" s="155" customFormat="1">
      <c r="A111" s="116"/>
      <c r="B111" s="116"/>
      <c r="C111" s="116"/>
      <c r="D111" s="116"/>
      <c r="E111" s="116"/>
      <c r="F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16"/>
      <c r="R111" s="116"/>
      <c r="S111" s="176"/>
      <c r="T111" s="176"/>
      <c r="U111" s="116"/>
      <c r="V111" s="116"/>
      <c r="W111" s="116"/>
      <c r="X111" s="116"/>
      <c r="Y111" s="116"/>
      <c r="Z111" s="116"/>
    </row>
    <row r="112" spans="1:26" s="155" customFormat="1">
      <c r="A112" s="116"/>
      <c r="B112" s="116"/>
      <c r="C112" s="116"/>
      <c r="D112" s="116"/>
      <c r="E112" s="116"/>
      <c r="F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16"/>
      <c r="R112" s="116"/>
      <c r="S112" s="176"/>
      <c r="T112" s="176"/>
      <c r="U112" s="116"/>
      <c r="V112" s="116"/>
      <c r="W112" s="116"/>
      <c r="X112" s="116"/>
      <c r="Y112" s="116"/>
      <c r="Z112" s="116"/>
    </row>
    <row r="113" spans="1:26" s="155" customFormat="1">
      <c r="A113" s="116"/>
      <c r="B113" s="116"/>
      <c r="C113" s="116"/>
      <c r="D113" s="116"/>
      <c r="E113" s="116"/>
      <c r="F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16"/>
      <c r="R113" s="116"/>
      <c r="S113" s="176"/>
      <c r="T113" s="176"/>
      <c r="U113" s="116"/>
      <c r="V113" s="116"/>
      <c r="W113" s="116"/>
      <c r="X113" s="116"/>
      <c r="Y113" s="116"/>
      <c r="Z113" s="116"/>
    </row>
    <row r="114" spans="1:26" s="155" customFormat="1">
      <c r="A114" s="116"/>
      <c r="B114" s="116"/>
      <c r="C114" s="116"/>
      <c r="D114" s="116"/>
      <c r="E114" s="116"/>
      <c r="F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16"/>
      <c r="R114" s="116"/>
      <c r="S114" s="176"/>
      <c r="T114" s="176"/>
      <c r="U114" s="116"/>
      <c r="V114" s="116"/>
      <c r="W114" s="116"/>
      <c r="X114" s="116"/>
      <c r="Y114" s="116"/>
      <c r="Z114" s="116"/>
    </row>
    <row r="115" spans="1:26" s="155" customFormat="1">
      <c r="A115" s="116"/>
      <c r="B115" s="116"/>
      <c r="C115" s="116"/>
      <c r="D115" s="116"/>
      <c r="E115" s="116"/>
      <c r="F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16"/>
      <c r="R115" s="116"/>
      <c r="S115" s="176"/>
      <c r="T115" s="176"/>
      <c r="U115" s="116"/>
      <c r="V115" s="116"/>
      <c r="W115" s="116"/>
      <c r="X115" s="116"/>
      <c r="Y115" s="116"/>
      <c r="Z115" s="116"/>
    </row>
    <row r="116" spans="1:26" s="155" customFormat="1">
      <c r="A116" s="116"/>
      <c r="B116" s="116"/>
      <c r="C116" s="116"/>
      <c r="D116" s="116"/>
      <c r="E116" s="116"/>
      <c r="F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16"/>
      <c r="R116" s="116"/>
      <c r="S116" s="176"/>
      <c r="T116" s="176"/>
      <c r="U116" s="116"/>
      <c r="V116" s="116"/>
      <c r="W116" s="116"/>
      <c r="X116" s="116"/>
      <c r="Y116" s="116"/>
      <c r="Z116" s="116"/>
    </row>
    <row r="117" spans="1:26" s="155" customFormat="1">
      <c r="A117" s="116"/>
      <c r="B117" s="116"/>
      <c r="C117" s="116"/>
      <c r="D117" s="116"/>
      <c r="E117" s="116"/>
      <c r="F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16"/>
      <c r="R117" s="116"/>
      <c r="S117" s="176"/>
      <c r="T117" s="176"/>
      <c r="U117" s="116"/>
      <c r="V117" s="116"/>
      <c r="W117" s="116"/>
      <c r="X117" s="116"/>
      <c r="Y117" s="116"/>
      <c r="Z117" s="116"/>
    </row>
    <row r="118" spans="1:26" s="155" customFormat="1">
      <c r="A118" s="116"/>
      <c r="B118" s="116"/>
      <c r="C118" s="116"/>
      <c r="D118" s="116"/>
      <c r="E118" s="116"/>
      <c r="F118" s="116"/>
      <c r="H118" s="116"/>
      <c r="I118" s="116"/>
      <c r="J118" s="116"/>
      <c r="K118" s="116"/>
      <c r="L118" s="116"/>
      <c r="M118" s="156"/>
      <c r="N118" s="116"/>
      <c r="O118" s="156"/>
      <c r="P118" s="116"/>
      <c r="Q118" s="116"/>
      <c r="R118" s="116"/>
      <c r="S118" s="176"/>
      <c r="T118" s="176"/>
      <c r="U118" s="116"/>
      <c r="V118" s="116"/>
      <c r="W118" s="116"/>
      <c r="X118" s="116"/>
      <c r="Y118" s="116"/>
      <c r="Z118" s="116"/>
    </row>
    <row r="119" spans="1:26" s="155" customFormat="1">
      <c r="A119" s="116"/>
      <c r="B119" s="116"/>
      <c r="C119" s="116"/>
      <c r="D119" s="116"/>
      <c r="E119" s="116"/>
      <c r="F119" s="116"/>
      <c r="H119" s="116"/>
      <c r="I119" s="116"/>
      <c r="J119" s="116"/>
      <c r="K119" s="116"/>
      <c r="L119" s="116"/>
      <c r="M119" s="156"/>
      <c r="N119" s="116"/>
      <c r="O119" s="156"/>
      <c r="P119" s="116"/>
      <c r="Q119" s="116"/>
      <c r="R119" s="116"/>
      <c r="S119" s="176"/>
      <c r="T119" s="176"/>
      <c r="U119" s="116"/>
      <c r="V119" s="116"/>
      <c r="W119" s="116"/>
      <c r="X119" s="116"/>
      <c r="Y119" s="116"/>
      <c r="Z119" s="116"/>
    </row>
    <row r="120" spans="1:26" s="155" customFormat="1">
      <c r="A120" s="116"/>
      <c r="B120" s="116"/>
      <c r="C120" s="116"/>
      <c r="D120" s="116"/>
      <c r="E120" s="116"/>
      <c r="F120" s="116"/>
      <c r="H120" s="116"/>
      <c r="I120" s="116"/>
      <c r="J120" s="116"/>
      <c r="K120" s="116"/>
      <c r="L120" s="116"/>
      <c r="M120" s="156"/>
      <c r="N120" s="116"/>
      <c r="O120" s="156"/>
      <c r="P120" s="116"/>
      <c r="Q120" s="116"/>
      <c r="R120" s="116"/>
      <c r="S120" s="176"/>
      <c r="T120" s="176"/>
      <c r="U120" s="116"/>
      <c r="V120" s="116"/>
      <c r="W120" s="116"/>
      <c r="X120" s="116"/>
      <c r="Y120" s="116"/>
      <c r="Z120" s="116"/>
    </row>
    <row r="121" spans="1:26" s="155" customFormat="1">
      <c r="A121" s="116"/>
      <c r="B121" s="116"/>
      <c r="C121" s="116"/>
      <c r="D121" s="116"/>
      <c r="E121" s="116"/>
      <c r="F121" s="116"/>
      <c r="H121" s="116"/>
      <c r="I121" s="116"/>
      <c r="J121" s="116"/>
      <c r="K121" s="116"/>
      <c r="L121" s="116"/>
      <c r="M121" s="156"/>
      <c r="N121" s="116"/>
      <c r="O121" s="156"/>
      <c r="P121" s="116"/>
      <c r="Q121" s="116"/>
      <c r="R121" s="116"/>
      <c r="S121" s="176"/>
      <c r="T121" s="176"/>
      <c r="U121" s="116"/>
      <c r="V121" s="116"/>
      <c r="W121" s="116"/>
      <c r="X121" s="116"/>
      <c r="Y121" s="116"/>
      <c r="Z121" s="116"/>
    </row>
    <row r="122" spans="1:26" s="155" customFormat="1">
      <c r="A122" s="116"/>
      <c r="B122" s="116"/>
      <c r="C122" s="116"/>
      <c r="D122" s="116"/>
      <c r="E122" s="116"/>
      <c r="F122" s="116"/>
      <c r="H122" s="116"/>
      <c r="I122" s="116"/>
      <c r="J122" s="116"/>
      <c r="K122" s="116"/>
      <c r="L122" s="116"/>
      <c r="M122" s="156"/>
      <c r="N122" s="116"/>
      <c r="O122" s="156"/>
      <c r="P122" s="116"/>
      <c r="Q122" s="116"/>
      <c r="R122" s="116"/>
      <c r="S122" s="176"/>
      <c r="T122" s="176"/>
      <c r="U122" s="116"/>
      <c r="V122" s="116"/>
      <c r="W122" s="116"/>
      <c r="X122" s="116"/>
      <c r="Y122" s="116"/>
      <c r="Z122" s="116"/>
    </row>
  </sheetData>
  <mergeCells count="27">
    <mergeCell ref="C23:P25"/>
    <mergeCell ref="C57:E57"/>
    <mergeCell ref="C59:E59"/>
    <mergeCell ref="G59:I59"/>
    <mergeCell ref="K59:P59"/>
    <mergeCell ref="C28:E28"/>
    <mergeCell ref="C30:E30"/>
    <mergeCell ref="C43:E43"/>
    <mergeCell ref="C45:E45"/>
    <mergeCell ref="G45:I45"/>
    <mergeCell ref="K45:P45"/>
    <mergeCell ref="C52:P54"/>
    <mergeCell ref="D11:E11"/>
    <mergeCell ref="C3:E3"/>
    <mergeCell ref="C5:E5"/>
    <mergeCell ref="G5:I5"/>
    <mergeCell ref="K5:P5"/>
    <mergeCell ref="G11:I11"/>
    <mergeCell ref="C84:P86"/>
    <mergeCell ref="G30:I30"/>
    <mergeCell ref="K30:P30"/>
    <mergeCell ref="C38:P40"/>
    <mergeCell ref="K78:P78"/>
    <mergeCell ref="G78:I78"/>
    <mergeCell ref="C78:E78"/>
    <mergeCell ref="C71:P73"/>
    <mergeCell ref="C76:E76"/>
  </mergeCells>
  <conditionalFormatting sqref="D13">
    <cfRule type="cellIs" dxfId="1" priority="1" operator="equal">
      <formula>0</formula>
    </cfRule>
    <cfRule type="cellIs" dxfId="0" priority="2" operator="greaterThan">
      <formula>$D$12</formula>
    </cfRule>
  </conditionalFormatting>
  <dataValidations count="8">
    <dataValidation type="whole" allowBlank="1" showInputMessage="1" showErrorMessage="1" sqref="H9 D9">
      <formula1>1</formula1>
      <formula2>1000</formula2>
    </dataValidation>
    <dataValidation type="whole" allowBlank="1" showInputMessage="1" showErrorMessage="1" sqref="D7 M17 M9 M11 M13 M15 O15 O13 O11 O9 O17 M19 O19 D32 D61 D63 M32 H61 H80 D34 D82 M82 H34">
      <formula1>1</formula1>
      <formula2>D9</formula2>
    </dataValidation>
    <dataValidation type="whole" allowBlank="1" showInputMessage="1" showErrorMessage="1" sqref="D13">
      <formula1>0</formula1>
      <formula2>D12</formula2>
    </dataValidation>
    <dataValidation type="whole" allowBlank="1" showInputMessage="1" showErrorMessage="1" sqref="M61 M63 M65 M67">
      <formula1>0</formula1>
      <formula2>100</formula2>
    </dataValidation>
    <dataValidation type="whole" allowBlank="1" showInputMessage="1" showErrorMessage="1" sqref="H7">
      <formula1>0</formula1>
      <formula2>1000</formula2>
    </dataValidation>
    <dataValidation type="whole" allowBlank="1" showInputMessage="1" showErrorMessage="1" sqref="O67">
      <formula1>M67</formula1>
      <formula2>100</formula2>
    </dataValidation>
    <dataValidation type="whole" allowBlank="1" showInputMessage="1" showErrorMessage="1" sqref="M34">
      <formula1>1</formula1>
      <formula2>L48</formula2>
    </dataValidation>
    <dataValidation type="whole" allowBlank="1" showInputMessage="1" showErrorMessage="1" sqref="M80">
      <formula1>0</formula1>
      <formula2>M19+O19</formula2>
    </dataValidation>
  </dataValidations>
  <pageMargins left="0.25" right="0.25" top="0.75" bottom="0.75" header="0.3" footer="0.3"/>
  <pageSetup paperSize="9" scale="54" fitToHeight="0" orientation="portrait" r:id="rId1"/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Spinner 4">
              <controlPr defaultSize="0" autoPict="0">
                <anchor moveWithCells="1" sizeWithCells="1">
                  <from>
                    <xdr:col>6</xdr:col>
                    <xdr:colOff>1143000</xdr:colOff>
                    <xdr:row>18</xdr:row>
                    <xdr:rowOff>66675</xdr:rowOff>
                  </from>
                  <to>
                    <xdr:col>6</xdr:col>
                    <xdr:colOff>1285875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5" name="Spinner 5">
              <controlPr defaultSize="0" autoPict="0">
                <anchor moveWithCells="1" sizeWithCells="1">
                  <from>
                    <xdr:col>6</xdr:col>
                    <xdr:colOff>1381125</xdr:colOff>
                    <xdr:row>18</xdr:row>
                    <xdr:rowOff>66675</xdr:rowOff>
                  </from>
                  <to>
                    <xdr:col>6</xdr:col>
                    <xdr:colOff>1524000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6" name="Spinner 6">
              <controlPr defaultSize="0" autoPict="0">
                <anchor moveWithCells="1" sizeWithCells="1">
                  <from>
                    <xdr:col>7</xdr:col>
                    <xdr:colOff>19050</xdr:colOff>
                    <xdr:row>18</xdr:row>
                    <xdr:rowOff>66675</xdr:rowOff>
                  </from>
                  <to>
                    <xdr:col>7</xdr:col>
                    <xdr:colOff>161925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7" name="Spinner 7">
              <controlPr defaultSize="0" autoPict="0">
                <anchor moveWithCells="1" sizeWithCells="1">
                  <from>
                    <xdr:col>7</xdr:col>
                    <xdr:colOff>257175</xdr:colOff>
                    <xdr:row>18</xdr:row>
                    <xdr:rowOff>66675</xdr:rowOff>
                  </from>
                  <to>
                    <xdr:col>7</xdr:col>
                    <xdr:colOff>400050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8" name="Spinner 9">
              <controlPr defaultSize="0" autoPict="0">
                <anchor moveWithCells="1" sizeWithCells="1">
                  <from>
                    <xdr:col>7</xdr:col>
                    <xdr:colOff>504825</xdr:colOff>
                    <xdr:row>18</xdr:row>
                    <xdr:rowOff>66675</xdr:rowOff>
                  </from>
                  <to>
                    <xdr:col>7</xdr:col>
                    <xdr:colOff>647700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9" name="Spinner 10">
              <controlPr defaultSize="0" autoPict="0">
                <anchor moveWithCells="1" sizeWithCells="1">
                  <from>
                    <xdr:col>7</xdr:col>
                    <xdr:colOff>733425</xdr:colOff>
                    <xdr:row>18</xdr:row>
                    <xdr:rowOff>66675</xdr:rowOff>
                  </from>
                  <to>
                    <xdr:col>7</xdr:col>
                    <xdr:colOff>876300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0" name="Spinner 11">
              <controlPr defaultSize="0" autoPict="0">
                <anchor moveWithCells="1" sizeWithCells="1">
                  <from>
                    <xdr:col>7</xdr:col>
                    <xdr:colOff>981075</xdr:colOff>
                    <xdr:row>18</xdr:row>
                    <xdr:rowOff>66675</xdr:rowOff>
                  </from>
                  <to>
                    <xdr:col>8</xdr:col>
                    <xdr:colOff>123825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1" name="Spinner 12">
              <controlPr defaultSize="0" autoPict="0">
                <anchor moveWithCells="1" sizeWithCells="1">
                  <from>
                    <xdr:col>8</xdr:col>
                    <xdr:colOff>219075</xdr:colOff>
                    <xdr:row>18</xdr:row>
                    <xdr:rowOff>66675</xdr:rowOff>
                  </from>
                  <to>
                    <xdr:col>8</xdr:col>
                    <xdr:colOff>361950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2" name="Spinner 13">
              <controlPr defaultSize="0" autoPict="0">
                <anchor moveWithCells="1" sizeWithCells="1">
                  <from>
                    <xdr:col>8</xdr:col>
                    <xdr:colOff>466725</xdr:colOff>
                    <xdr:row>18</xdr:row>
                    <xdr:rowOff>66675</xdr:rowOff>
                  </from>
                  <to>
                    <xdr:col>8</xdr:col>
                    <xdr:colOff>609600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3" name="Spinner 14">
              <controlPr defaultSize="0" autoPict="0">
                <anchor moveWithCells="1" sizeWithCells="1">
                  <from>
                    <xdr:col>8</xdr:col>
                    <xdr:colOff>704850</xdr:colOff>
                    <xdr:row>18</xdr:row>
                    <xdr:rowOff>66675</xdr:rowOff>
                  </from>
                  <to>
                    <xdr:col>8</xdr:col>
                    <xdr:colOff>847725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4" name="Scroll Bar 15">
              <controlPr locked="0" defaultSize="0" print="0" autoPict="0">
                <anchor moveWithCells="1">
                  <from>
                    <xdr:col>6</xdr:col>
                    <xdr:colOff>85725</xdr:colOff>
                    <xdr:row>17</xdr:row>
                    <xdr:rowOff>66675</xdr:rowOff>
                  </from>
                  <to>
                    <xdr:col>6</xdr:col>
                    <xdr:colOff>876300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15" name="Check Box 18">
              <controlPr defaultSize="0" autoFill="0" autoLine="0" autoPict="0">
                <anchor moveWithCells="1">
                  <from>
                    <xdr:col>7</xdr:col>
                    <xdr:colOff>962025</xdr:colOff>
                    <xdr:row>34</xdr:row>
                    <xdr:rowOff>57150</xdr:rowOff>
                  </from>
                  <to>
                    <xdr:col>8</xdr:col>
                    <xdr:colOff>381000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16" name="Check Box 21">
              <controlPr defaultSize="0" autoFill="0" autoLine="0" autoPict="0">
                <anchor moveWithCells="1">
                  <from>
                    <xdr:col>10</xdr:col>
                    <xdr:colOff>1133475</xdr:colOff>
                    <xdr:row>48</xdr:row>
                    <xdr:rowOff>66675</xdr:rowOff>
                  </from>
                  <to>
                    <xdr:col>11</xdr:col>
                    <xdr:colOff>152400</xdr:colOff>
                    <xdr:row>50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17" name="Scroll Bar 25">
              <controlPr defaultSize="0" autoPict="0">
                <anchor moveWithCells="1">
                  <from>
                    <xdr:col>7</xdr:col>
                    <xdr:colOff>638175</xdr:colOff>
                    <xdr:row>31</xdr:row>
                    <xdr:rowOff>0</xdr:rowOff>
                  </from>
                  <to>
                    <xdr:col>7</xdr:col>
                    <xdr:colOff>952500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18" name="Check Box 26">
              <controlPr defaultSize="0" autoFill="0" autoLine="0" autoPict="0">
                <anchor moveWithCells="1">
                  <from>
                    <xdr:col>6</xdr:col>
                    <xdr:colOff>1343025</xdr:colOff>
                    <xdr:row>46</xdr:row>
                    <xdr:rowOff>57150</xdr:rowOff>
                  </from>
                  <to>
                    <xdr:col>7</xdr:col>
                    <xdr:colOff>152400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19" name="Check Box 27">
              <controlPr defaultSize="0" autoFill="0" autoLine="0" autoPict="0">
                <anchor moveWithCells="1">
                  <from>
                    <xdr:col>10</xdr:col>
                    <xdr:colOff>1133475</xdr:colOff>
                    <xdr:row>46</xdr:row>
                    <xdr:rowOff>66675</xdr:rowOff>
                  </from>
                  <to>
                    <xdr:col>11</xdr:col>
                    <xdr:colOff>152400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20" name="Check Box 28">
              <controlPr defaultSize="0" autoFill="0" autoLine="0" autoPict="0">
                <anchor moveWithCells="1">
                  <from>
                    <xdr:col>6</xdr:col>
                    <xdr:colOff>1343025</xdr:colOff>
                    <xdr:row>34</xdr:row>
                    <xdr:rowOff>57150</xdr:rowOff>
                  </from>
                  <to>
                    <xdr:col>7</xdr:col>
                    <xdr:colOff>152400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21" name="Check Box 29">
              <controlPr defaultSize="0" autoFill="0" autoLine="0" autoPict="0">
                <anchor moveWithCells="1">
                  <from>
                    <xdr:col>13</xdr:col>
                    <xdr:colOff>1466850</xdr:colOff>
                    <xdr:row>46</xdr:row>
                    <xdr:rowOff>66675</xdr:rowOff>
                  </from>
                  <to>
                    <xdr:col>14</xdr:col>
                    <xdr:colOff>419100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22" name="Check Box 30">
              <controlPr defaultSize="0" autoFill="0" autoLine="0" autoPict="0">
                <anchor moveWithCells="1">
                  <from>
                    <xdr:col>6</xdr:col>
                    <xdr:colOff>1333500</xdr:colOff>
                    <xdr:row>48</xdr:row>
                    <xdr:rowOff>57150</xdr:rowOff>
                  </from>
                  <to>
                    <xdr:col>7</xdr:col>
                    <xdr:colOff>142875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23" name="Check Box 31">
              <controlPr defaultSize="0" autoFill="0" autoLine="0" autoPict="0">
                <anchor moveWithCells="1">
                  <from>
                    <xdr:col>13</xdr:col>
                    <xdr:colOff>1466850</xdr:colOff>
                    <xdr:row>48</xdr:row>
                    <xdr:rowOff>66675</xdr:rowOff>
                  </from>
                  <to>
                    <xdr:col>14</xdr:col>
                    <xdr:colOff>419100</xdr:colOff>
                    <xdr:row>50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24" name="Check Box 32">
              <controlPr defaultSize="0" autoFill="0" autoLine="0" autoPict="0">
                <anchor moveWithCells="1">
                  <from>
                    <xdr:col>7</xdr:col>
                    <xdr:colOff>1343025</xdr:colOff>
                    <xdr:row>48</xdr:row>
                    <xdr:rowOff>57150</xdr:rowOff>
                  </from>
                  <to>
                    <xdr:col>8</xdr:col>
                    <xdr:colOff>419100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25" name="Check Box 35">
              <controlPr defaultSize="0" autoFill="0" autoLine="0" autoPict="0">
                <anchor moveWithCells="1">
                  <from>
                    <xdr:col>2</xdr:col>
                    <xdr:colOff>9525</xdr:colOff>
                    <xdr:row>64</xdr:row>
                    <xdr:rowOff>0</xdr:rowOff>
                  </from>
                  <to>
                    <xdr:col>2</xdr:col>
                    <xdr:colOff>495300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26" name="Check Box 36">
              <controlPr defaultSize="0" autoFill="0" autoLine="0" autoPict="0">
                <anchor moveWithCells="1">
                  <from>
                    <xdr:col>2</xdr:col>
                    <xdr:colOff>447675</xdr:colOff>
                    <xdr:row>64</xdr:row>
                    <xdr:rowOff>0</xdr:rowOff>
                  </from>
                  <to>
                    <xdr:col>2</xdr:col>
                    <xdr:colOff>933450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3" r:id="rId27" name="Check Box 37">
              <controlPr defaultSize="0" autoFill="0" autoLine="0" autoPict="0">
                <anchor moveWithCells="1">
                  <from>
                    <xdr:col>2</xdr:col>
                    <xdr:colOff>895350</xdr:colOff>
                    <xdr:row>64</xdr:row>
                    <xdr:rowOff>9525</xdr:rowOff>
                  </from>
                  <to>
                    <xdr:col>3</xdr:col>
                    <xdr:colOff>276225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28" name="Check Box 39">
              <controlPr defaultSize="0" autoFill="0" autoLine="0" autoPict="0">
                <anchor moveWithCells="1">
                  <from>
                    <xdr:col>3</xdr:col>
                    <xdr:colOff>276225</xdr:colOff>
                    <xdr:row>64</xdr:row>
                    <xdr:rowOff>0</xdr:rowOff>
                  </from>
                  <to>
                    <xdr:col>4</xdr:col>
                    <xdr:colOff>123825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29" name="Check Box 40">
              <controlPr defaultSize="0" autoFill="0" autoLine="0" autoPict="0">
                <anchor moveWithCells="1">
                  <from>
                    <xdr:col>4</xdr:col>
                    <xdr:colOff>171450</xdr:colOff>
                    <xdr:row>64</xdr:row>
                    <xdr:rowOff>0</xdr:rowOff>
                  </from>
                  <to>
                    <xdr:col>4</xdr:col>
                    <xdr:colOff>962025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30" name="Check Box 41">
              <controlPr defaultSize="0" autoFill="0" autoLine="0" autoPict="0">
                <anchor moveWithCells="1">
                  <from>
                    <xdr:col>4</xdr:col>
                    <xdr:colOff>990600</xdr:colOff>
                    <xdr:row>64</xdr:row>
                    <xdr:rowOff>9525</xdr:rowOff>
                  </from>
                  <to>
                    <xdr:col>4</xdr:col>
                    <xdr:colOff>1876425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8" r:id="rId31" name="Check Box 42">
              <controlPr defaultSize="0" autoFill="0" autoLine="0" autoPict="0">
                <anchor moveWithCells="1">
                  <from>
                    <xdr:col>6</xdr:col>
                    <xdr:colOff>1381125</xdr:colOff>
                    <xdr:row>61</xdr:row>
                    <xdr:rowOff>57150</xdr:rowOff>
                  </from>
                  <to>
                    <xdr:col>7</xdr:col>
                    <xdr:colOff>190500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9" r:id="rId32" name="Check Box 43">
              <controlPr defaultSize="0" autoFill="0" autoLine="0" autoPict="0">
                <anchor moveWithCells="1">
                  <from>
                    <xdr:col>6</xdr:col>
                    <xdr:colOff>1381125</xdr:colOff>
                    <xdr:row>63</xdr:row>
                    <xdr:rowOff>66675</xdr:rowOff>
                  </from>
                  <to>
                    <xdr:col>7</xdr:col>
                    <xdr:colOff>190500</xdr:colOff>
                    <xdr:row>65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0" r:id="rId33" name="Check Box 44">
              <controlPr defaultSize="0" autoFill="0" autoLine="0" autoPict="0">
                <anchor moveWithCells="1">
                  <from>
                    <xdr:col>6</xdr:col>
                    <xdr:colOff>1381125</xdr:colOff>
                    <xdr:row>65</xdr:row>
                    <xdr:rowOff>57150</xdr:rowOff>
                  </from>
                  <to>
                    <xdr:col>7</xdr:col>
                    <xdr:colOff>190500</xdr:colOff>
                    <xdr:row>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34" name="Check Box 45">
              <controlPr defaultSize="0" autoFill="0" autoLine="0" autoPict="0">
                <anchor moveWithCells="1">
                  <from>
                    <xdr:col>9</xdr:col>
                    <xdr:colOff>76200</xdr:colOff>
                    <xdr:row>68</xdr:row>
                    <xdr:rowOff>9525</xdr:rowOff>
                  </from>
                  <to>
                    <xdr:col>10</xdr:col>
                    <xdr:colOff>619125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35" name="Check Box 46">
              <controlPr defaultSize="0" autoFill="0" autoLine="0" autoPict="0">
                <anchor moveWithCells="1">
                  <from>
                    <xdr:col>10</xdr:col>
                    <xdr:colOff>581025</xdr:colOff>
                    <xdr:row>68</xdr:row>
                    <xdr:rowOff>9525</xdr:rowOff>
                  </from>
                  <to>
                    <xdr:col>10</xdr:col>
                    <xdr:colOff>1209675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36" name="Check Box 47">
              <controlPr defaultSize="0" autoFill="0" autoLine="0" autoPict="0">
                <anchor moveWithCells="1">
                  <from>
                    <xdr:col>10</xdr:col>
                    <xdr:colOff>1200150</xdr:colOff>
                    <xdr:row>68</xdr:row>
                    <xdr:rowOff>9525</xdr:rowOff>
                  </from>
                  <to>
                    <xdr:col>12</xdr:col>
                    <xdr:colOff>123825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37" name="Check Box 48">
              <controlPr defaultSize="0" autoFill="0" autoLine="0" autoPict="0">
                <anchor moveWithCells="1">
                  <from>
                    <xdr:col>12</xdr:col>
                    <xdr:colOff>180975</xdr:colOff>
                    <xdr:row>68</xdr:row>
                    <xdr:rowOff>9525</xdr:rowOff>
                  </from>
                  <to>
                    <xdr:col>14</xdr:col>
                    <xdr:colOff>9525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38" name="Check Box 49">
              <controlPr defaultSize="0" autoFill="0" autoLine="0" autoPict="0">
                <anchor moveWithCells="1">
                  <from>
                    <xdr:col>14</xdr:col>
                    <xdr:colOff>123825</xdr:colOff>
                    <xdr:row>68</xdr:row>
                    <xdr:rowOff>0</xdr:rowOff>
                  </from>
                  <to>
                    <xdr:col>15</xdr:col>
                    <xdr:colOff>190500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39" name="Check Box 50">
              <controlPr defaultSize="0" autoFill="0" autoLine="0" autoPict="0">
                <anchor moveWithCells="1">
                  <from>
                    <xdr:col>12</xdr:col>
                    <xdr:colOff>19050</xdr:colOff>
                    <xdr:row>19</xdr:row>
                    <xdr:rowOff>85725</xdr:rowOff>
                  </from>
                  <to>
                    <xdr:col>13</xdr:col>
                    <xdr:colOff>190500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40" name="Check Box 51">
              <controlPr defaultSize="0" autoFill="0" autoLine="0" autoPict="0" altText="including pallet transport">
                <anchor moveWithCells="1">
                  <from>
                    <xdr:col>13</xdr:col>
                    <xdr:colOff>200025</xdr:colOff>
                    <xdr:row>19</xdr:row>
                    <xdr:rowOff>76200</xdr:rowOff>
                  </from>
                  <to>
                    <xdr:col>15</xdr:col>
                    <xdr:colOff>161925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41" name="Scroll Bar 53">
              <controlPr locked="0" defaultSize="0" print="0" autoPict="0">
                <anchor moveWithCells="1">
                  <from>
                    <xdr:col>10</xdr:col>
                    <xdr:colOff>28575</xdr:colOff>
                    <xdr:row>20</xdr:row>
                    <xdr:rowOff>28575</xdr:rowOff>
                  </from>
                  <to>
                    <xdr:col>10</xdr:col>
                    <xdr:colOff>1133475</xdr:colOff>
                    <xdr:row>20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setup!$B$4:$B$14</xm:f>
          </x14:formula1>
          <xm:sqref>E9</xm:sqref>
        </x14:dataValidation>
        <x14:dataValidation type="list" allowBlank="1" showInputMessage="1" showErrorMessage="1">
          <x14:formula1>
            <xm:f>setup!$B$17:$B$22</xm:f>
          </x14:formula1>
          <xm:sqref>D11:E11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50"/>
  <sheetViews>
    <sheetView topLeftCell="M4" workbookViewId="0">
      <selection activeCell="C11" sqref="C11"/>
    </sheetView>
  </sheetViews>
  <sheetFormatPr defaultColWidth="9.140625" defaultRowHeight="12.75"/>
  <cols>
    <col min="1" max="1" width="9.140625" style="178"/>
    <col min="2" max="2" width="45.140625" style="178" customWidth="1"/>
    <col min="3" max="3" width="7.42578125" style="178" customWidth="1"/>
    <col min="4" max="5" width="9.140625" style="178"/>
    <col min="6" max="15" width="6.140625" style="178" customWidth="1"/>
    <col min="16" max="16" width="7.85546875" style="178" customWidth="1"/>
    <col min="17" max="17" width="9.140625" style="178"/>
    <col min="18" max="18" width="12.85546875" style="178" customWidth="1"/>
    <col min="19" max="19" width="10.140625" style="178" customWidth="1"/>
    <col min="20" max="21" width="9.140625" style="178"/>
    <col min="22" max="22" width="15.140625" style="178" customWidth="1"/>
    <col min="23" max="23" width="10.28515625" style="178" customWidth="1"/>
    <col min="24" max="27" width="9.140625" style="178"/>
    <col min="28" max="28" width="11.5703125" style="178" bestFit="1" customWidth="1"/>
    <col min="29" max="16384" width="9.140625" style="178"/>
  </cols>
  <sheetData>
    <row r="2" spans="2:29">
      <c r="C2" s="334">
        <f>Assumptions!D9</f>
        <v>80</v>
      </c>
      <c r="AB2" s="178" t="e">
        <f>#REF!</f>
        <v>#REF!</v>
      </c>
      <c r="AC2" s="379" t="e">
        <f>VLOOKUP(AB2,$AB$4:$AC$7,2,)</f>
        <v>#REF!</v>
      </c>
    </row>
    <row r="4" spans="2:29">
      <c r="B4" s="184" t="str">
        <f>CONCATENATE(C4," % of pallets &amp; ",D4,"% of cartons")</f>
        <v>100 % of pallets &amp; 0% of cartons</v>
      </c>
      <c r="C4" s="185">
        <v>100</v>
      </c>
      <c r="D4" s="185">
        <f>100-C4</f>
        <v>0</v>
      </c>
      <c r="F4" s="192">
        <v>8</v>
      </c>
      <c r="G4" s="192">
        <v>7</v>
      </c>
      <c r="H4" s="192">
        <v>8</v>
      </c>
      <c r="I4" s="192">
        <v>8</v>
      </c>
      <c r="J4" s="192">
        <v>7</v>
      </c>
      <c r="K4" s="192">
        <v>6</v>
      </c>
      <c r="L4" s="192">
        <v>3</v>
      </c>
      <c r="M4" s="192">
        <v>3</v>
      </c>
      <c r="N4" s="192">
        <v>2</v>
      </c>
      <c r="O4" s="192">
        <v>0</v>
      </c>
      <c r="P4" s="185">
        <f>SUM(F4:O4)</f>
        <v>52</v>
      </c>
      <c r="R4" s="244" t="s">
        <v>56</v>
      </c>
      <c r="S4" s="178" t="b">
        <v>1</v>
      </c>
      <c r="T4" s="178">
        <f>IF(S4,1,0)</f>
        <v>1</v>
      </c>
      <c r="V4" s="178" t="s">
        <v>360</v>
      </c>
      <c r="W4" s="178" t="b">
        <v>1</v>
      </c>
      <c r="X4" s="178">
        <f t="shared" ref="X4:X9" si="0">IF(W4,1,0)</f>
        <v>1</v>
      </c>
      <c r="AB4" s="178" t="e">
        <f>#REF!</f>
        <v>#REF!</v>
      </c>
      <c r="AC4" s="178">
        <v>1</v>
      </c>
    </row>
    <row r="5" spans="2:29">
      <c r="B5" s="184" t="str">
        <f t="shared" ref="B5:B15" si="1">CONCATENATE(C5," % of pallets &amp; ",D5,"% of cartons")</f>
        <v>90 % of pallets &amp; 10% of cartons</v>
      </c>
      <c r="C5" s="185">
        <f>C4-10</f>
        <v>90</v>
      </c>
      <c r="D5" s="185">
        <f t="shared" ref="D5:D14" si="2">100-C5</f>
        <v>10</v>
      </c>
      <c r="F5" s="185">
        <f>(ROUND(F4/$P$4*Assumptions!$H$9,0))</f>
        <v>12</v>
      </c>
      <c r="G5" s="185">
        <f>(ROUND(G4/$P$4*Assumptions!$H$9,0))</f>
        <v>10</v>
      </c>
      <c r="H5" s="185">
        <f>(ROUND(H4/$P$4*Assumptions!$H$9,0))</f>
        <v>12</v>
      </c>
      <c r="I5" s="185">
        <f>(ROUND(I4/$P$4*Assumptions!$H$9,0))</f>
        <v>12</v>
      </c>
      <c r="J5" s="185">
        <f>(ROUND(J4/$P$4*Assumptions!$H$9,0))</f>
        <v>10</v>
      </c>
      <c r="K5" s="185">
        <f>(ROUND(K4/$P$4*Assumptions!$H$9,0))</f>
        <v>9</v>
      </c>
      <c r="L5" s="185">
        <f>(ROUND(L4/$P$4*Assumptions!$H$9,0))</f>
        <v>4</v>
      </c>
      <c r="M5" s="185">
        <f>(ROUND(M4/$P$4*Assumptions!$H$9,0))</f>
        <v>4</v>
      </c>
      <c r="N5" s="185">
        <f>(ROUND(N4/$P$4*Assumptions!$H$9,0))</f>
        <v>3</v>
      </c>
      <c r="O5" s="185">
        <f>(ROUND(O4/$P$4*Assumptions!$H$9,0))</f>
        <v>0</v>
      </c>
      <c r="P5" s="185">
        <f>SUM(F5:O5)</f>
        <v>76</v>
      </c>
      <c r="R5" s="244" t="s">
        <v>57</v>
      </c>
      <c r="S5" s="178" t="b">
        <v>0</v>
      </c>
      <c r="T5" s="178">
        <f>IF(S5,1,0)</f>
        <v>0</v>
      </c>
      <c r="V5" s="178" t="s">
        <v>361</v>
      </c>
      <c r="W5" s="178" t="b">
        <v>1</v>
      </c>
      <c r="X5" s="178">
        <f t="shared" si="0"/>
        <v>1</v>
      </c>
      <c r="AB5" s="178" t="s">
        <v>0</v>
      </c>
      <c r="AC5" s="178">
        <v>1</v>
      </c>
    </row>
    <row r="6" spans="2:29">
      <c r="B6" s="184" t="str">
        <f t="shared" si="1"/>
        <v>80 % of pallets &amp; 20% of cartons</v>
      </c>
      <c r="C6" s="185">
        <f t="shared" ref="C6:C14" si="3">C5-10</f>
        <v>80</v>
      </c>
      <c r="D6" s="185">
        <f t="shared" si="2"/>
        <v>20</v>
      </c>
      <c r="P6" s="194">
        <f>-P5+Assumptions!H9</f>
        <v>-1</v>
      </c>
      <c r="R6" s="244" t="s">
        <v>58</v>
      </c>
      <c r="S6" s="178" t="b">
        <v>1</v>
      </c>
      <c r="T6" s="178">
        <f>IF(S6,1,0)</f>
        <v>1</v>
      </c>
      <c r="V6" s="178" t="s">
        <v>362</v>
      </c>
      <c r="W6" s="178" t="b">
        <v>1</v>
      </c>
      <c r="X6" s="178">
        <f t="shared" si="0"/>
        <v>1</v>
      </c>
      <c r="AB6" s="178" t="s">
        <v>453</v>
      </c>
      <c r="AC6" s="178">
        <v>12</v>
      </c>
    </row>
    <row r="7" spans="2:29">
      <c r="B7" s="184" t="str">
        <f t="shared" si="1"/>
        <v>70 % of pallets &amp; 30% of cartons</v>
      </c>
      <c r="C7" s="185">
        <f t="shared" si="3"/>
        <v>70</v>
      </c>
      <c r="D7" s="185">
        <f t="shared" si="2"/>
        <v>30</v>
      </c>
      <c r="F7" s="178">
        <v>50</v>
      </c>
      <c r="G7" s="178">
        <v>70</v>
      </c>
      <c r="H7" s="178">
        <v>90</v>
      </c>
      <c r="I7" s="178">
        <v>110</v>
      </c>
      <c r="J7" s="178">
        <v>130</v>
      </c>
      <c r="K7" s="178">
        <v>150</v>
      </c>
      <c r="L7" s="178">
        <v>170</v>
      </c>
      <c r="M7" s="178">
        <v>190</v>
      </c>
      <c r="N7" s="178">
        <v>210</v>
      </c>
      <c r="O7" s="178">
        <v>230</v>
      </c>
      <c r="P7" s="185"/>
      <c r="R7" s="244" t="s">
        <v>276</v>
      </c>
      <c r="S7" s="178" t="b">
        <v>1</v>
      </c>
      <c r="T7" s="178">
        <f>IF(S7,1,0)</f>
        <v>1</v>
      </c>
      <c r="V7" s="178" t="s">
        <v>74</v>
      </c>
      <c r="W7" s="178" t="b">
        <v>0</v>
      </c>
      <c r="X7" s="178">
        <f t="shared" si="0"/>
        <v>0</v>
      </c>
      <c r="AB7" s="178" t="s">
        <v>12</v>
      </c>
      <c r="AC7" s="178">
        <v>12</v>
      </c>
    </row>
    <row r="8" spans="2:29">
      <c r="B8" s="184" t="str">
        <f t="shared" si="1"/>
        <v>60 % of pallets &amp; 40% of cartons</v>
      </c>
      <c r="C8" s="185">
        <f t="shared" si="3"/>
        <v>60</v>
      </c>
      <c r="D8" s="185">
        <f t="shared" si="2"/>
        <v>40</v>
      </c>
      <c r="F8" s="193">
        <f>P6+F5</f>
        <v>11</v>
      </c>
      <c r="G8" s="193">
        <f>G5</f>
        <v>10</v>
      </c>
      <c r="H8" s="193">
        <f t="shared" ref="H8:O8" si="4">H5</f>
        <v>12</v>
      </c>
      <c r="I8" s="193">
        <f t="shared" si="4"/>
        <v>12</v>
      </c>
      <c r="J8" s="193">
        <f t="shared" si="4"/>
        <v>10</v>
      </c>
      <c r="K8" s="193">
        <f t="shared" si="4"/>
        <v>9</v>
      </c>
      <c r="L8" s="193">
        <f t="shared" si="4"/>
        <v>4</v>
      </c>
      <c r="M8" s="193">
        <f t="shared" si="4"/>
        <v>4</v>
      </c>
      <c r="N8" s="193">
        <f t="shared" si="4"/>
        <v>3</v>
      </c>
      <c r="O8" s="193">
        <f t="shared" si="4"/>
        <v>0</v>
      </c>
      <c r="P8" s="185">
        <f>SUM(F8:O8)</f>
        <v>75</v>
      </c>
      <c r="R8" s="244" t="s">
        <v>351</v>
      </c>
      <c r="S8" s="178" t="b">
        <v>0</v>
      </c>
      <c r="T8" s="178">
        <f>IF(S8,1,0)</f>
        <v>0</v>
      </c>
      <c r="V8" s="178" t="s">
        <v>363</v>
      </c>
      <c r="W8" s="178" t="b">
        <v>0</v>
      </c>
      <c r="X8" s="178">
        <f t="shared" si="0"/>
        <v>0</v>
      </c>
    </row>
    <row r="9" spans="2:29">
      <c r="B9" s="184" t="str">
        <f t="shared" si="1"/>
        <v>50 % of pallets &amp; 50% of cartons</v>
      </c>
      <c r="C9" s="185">
        <f t="shared" si="3"/>
        <v>50</v>
      </c>
      <c r="D9" s="185">
        <f t="shared" si="2"/>
        <v>50</v>
      </c>
      <c r="R9" s="251"/>
      <c r="V9" s="178" t="s">
        <v>364</v>
      </c>
      <c r="W9" s="178" t="b">
        <v>1</v>
      </c>
      <c r="X9" s="178">
        <f t="shared" si="0"/>
        <v>1</v>
      </c>
    </row>
    <row r="10" spans="2:29">
      <c r="B10" s="184" t="str">
        <f t="shared" si="1"/>
        <v>40 % of pallets &amp; 60% of cartons</v>
      </c>
      <c r="C10" s="185">
        <f t="shared" si="3"/>
        <v>40</v>
      </c>
      <c r="D10" s="185">
        <f t="shared" si="2"/>
        <v>60</v>
      </c>
      <c r="R10" s="244" t="s">
        <v>354</v>
      </c>
      <c r="S10" s="178" t="b">
        <v>1</v>
      </c>
      <c r="T10" s="178">
        <f>IF(S10,1,0)</f>
        <v>1</v>
      </c>
    </row>
    <row r="11" spans="2:29">
      <c r="B11" s="184" t="str">
        <f t="shared" si="1"/>
        <v>30 % of pallets &amp; 70% of cartons</v>
      </c>
      <c r="C11" s="185">
        <f t="shared" si="3"/>
        <v>30</v>
      </c>
      <c r="D11" s="185">
        <f t="shared" si="2"/>
        <v>70</v>
      </c>
      <c r="H11" s="196"/>
      <c r="R11" s="244" t="s">
        <v>355</v>
      </c>
      <c r="S11" s="178" t="b">
        <v>0</v>
      </c>
      <c r="T11" s="178">
        <f>IF(S11,1,0)</f>
        <v>0</v>
      </c>
    </row>
    <row r="12" spans="2:29">
      <c r="B12" s="184" t="str">
        <f t="shared" si="1"/>
        <v>20 % of pallets &amp; 80% of cartons</v>
      </c>
      <c r="C12" s="185">
        <f t="shared" si="3"/>
        <v>20</v>
      </c>
      <c r="D12" s="185">
        <f t="shared" si="2"/>
        <v>80</v>
      </c>
      <c r="H12" s="197"/>
      <c r="R12" s="244" t="s">
        <v>356</v>
      </c>
      <c r="S12" s="178" t="b">
        <v>0</v>
      </c>
      <c r="T12" s="178">
        <f>IF(S12,1,0)</f>
        <v>0</v>
      </c>
      <c r="V12" s="178" t="s">
        <v>365</v>
      </c>
      <c r="W12" s="178" t="b">
        <v>1</v>
      </c>
      <c r="X12" s="178">
        <f t="shared" ref="X12:X14" si="5">IF(W12,1,0)</f>
        <v>1</v>
      </c>
    </row>
    <row r="13" spans="2:29">
      <c r="B13" s="184" t="str">
        <f t="shared" si="1"/>
        <v>10 % of pallets &amp; 90% of cartons</v>
      </c>
      <c r="C13" s="185">
        <f t="shared" si="3"/>
        <v>10</v>
      </c>
      <c r="D13" s="185">
        <f t="shared" si="2"/>
        <v>90</v>
      </c>
      <c r="F13" s="200" t="s">
        <v>329</v>
      </c>
      <c r="G13" s="201">
        <f>Assumptions!H7</f>
        <v>10</v>
      </c>
      <c r="H13" s="197"/>
      <c r="R13" s="244" t="s">
        <v>357</v>
      </c>
      <c r="S13" s="178" t="b">
        <v>0</v>
      </c>
      <c r="T13" s="178">
        <f>IF(S13,1,0)</f>
        <v>0</v>
      </c>
      <c r="V13" s="178" t="s">
        <v>75</v>
      </c>
      <c r="W13" s="178" t="b">
        <v>1</v>
      </c>
      <c r="X13" s="178">
        <f t="shared" si="5"/>
        <v>1</v>
      </c>
    </row>
    <row r="14" spans="2:29">
      <c r="B14" s="184" t="str">
        <f t="shared" si="1"/>
        <v>0 % of pallets &amp; 100% of cartons</v>
      </c>
      <c r="C14" s="185">
        <f t="shared" si="3"/>
        <v>0</v>
      </c>
      <c r="D14" s="185">
        <f t="shared" si="2"/>
        <v>100</v>
      </c>
      <c r="F14" s="202" t="s">
        <v>333</v>
      </c>
      <c r="G14" s="203" t="s">
        <v>331</v>
      </c>
      <c r="H14" s="203" t="s">
        <v>332</v>
      </c>
      <c r="I14" s="203" t="s">
        <v>330</v>
      </c>
      <c r="V14" s="178" t="s">
        <v>76</v>
      </c>
      <c r="W14" s="178" t="b">
        <v>1</v>
      </c>
      <c r="X14" s="178">
        <f t="shared" si="5"/>
        <v>1</v>
      </c>
    </row>
    <row r="15" spans="2:29">
      <c r="B15" s="178" t="str">
        <f t="shared" si="1"/>
        <v>48 % of pallets &amp; 32% of cartons</v>
      </c>
      <c r="C15" s="335">
        <f>VLOOKUP(Assumptions!$E$9,setup!$B$4:$D$14,2,)/100*C2</f>
        <v>48</v>
      </c>
      <c r="D15" s="335">
        <f>C2-C15</f>
        <v>32</v>
      </c>
      <c r="F15" s="18">
        <v>12</v>
      </c>
      <c r="G15" s="178">
        <f>VLOOKUP(F15,$F$18:$I$37,2,)*G13</f>
        <v>3</v>
      </c>
      <c r="H15" s="178">
        <f>VLOOKUP(F15,$F$18:$I$37,3,)*G13</f>
        <v>4</v>
      </c>
      <c r="I15" s="178">
        <f>VLOOKUP(F15,$F$18:$I$37,4,)*G13</f>
        <v>2.9999999999999991</v>
      </c>
    </row>
    <row r="16" spans="2:29">
      <c r="F16" s="18"/>
      <c r="V16" s="18" t="s">
        <v>51</v>
      </c>
      <c r="W16" s="178" t="b">
        <v>1</v>
      </c>
      <c r="X16" s="178">
        <f t="shared" ref="X16:X20" si="6">IF(W16,1,0)</f>
        <v>1</v>
      </c>
      <c r="Y16" s="178">
        <f>X16*Assumptions!$M$67</f>
        <v>12</v>
      </c>
    </row>
    <row r="17" spans="2:31" ht="13.5" thickBot="1">
      <c r="B17" s="186" t="s">
        <v>107</v>
      </c>
      <c r="C17" s="335">
        <f>D17*Assumptions!$D$9+0.85*D22*Assumptions!$D$9</f>
        <v>68</v>
      </c>
      <c r="D17" s="178">
        <f>IF(VLOOKUP(Assumptions!$D$11,setup!$B$17:$B$22,1,)=B17,1,0)</f>
        <v>0</v>
      </c>
      <c r="F17" s="18"/>
      <c r="V17" s="18" t="s">
        <v>52</v>
      </c>
      <c r="W17" s="178" t="b">
        <v>1</v>
      </c>
      <c r="X17" s="178">
        <f t="shared" si="6"/>
        <v>1</v>
      </c>
      <c r="Y17" s="178">
        <f>X17*Assumptions!O67</f>
        <v>46</v>
      </c>
    </row>
    <row r="18" spans="2:31" ht="13.5" thickBot="1">
      <c r="B18" s="186" t="s">
        <v>334</v>
      </c>
      <c r="C18" s="335">
        <f>D18*Assumptions!$D$9</f>
        <v>0</v>
      </c>
      <c r="D18" s="178">
        <f>IF(VLOOKUP(Assumptions!$D$11,setup!$B$17:$B$22,1,)=B18,1,0)</f>
        <v>0</v>
      </c>
      <c r="F18" s="216">
        <v>1</v>
      </c>
      <c r="G18" s="211">
        <v>1</v>
      </c>
      <c r="H18" s="205">
        <f>1-G18-I18</f>
        <v>0</v>
      </c>
      <c r="I18" s="207">
        <v>0</v>
      </c>
      <c r="K18" s="213">
        <f>SUM(G18:I18)</f>
        <v>1</v>
      </c>
      <c r="V18" s="18" t="s">
        <v>53</v>
      </c>
      <c r="W18" s="178" t="b">
        <v>1</v>
      </c>
      <c r="X18" s="178">
        <f t="shared" si="6"/>
        <v>1</v>
      </c>
      <c r="Y18" s="178">
        <f>X18*Assumptions!$M$67</f>
        <v>12</v>
      </c>
    </row>
    <row r="19" spans="2:31">
      <c r="B19" s="186" t="s">
        <v>108</v>
      </c>
      <c r="C19" s="335">
        <f>D19*Assumptions!$D$9+0.15*D22*Assumptions!$D$9</f>
        <v>12</v>
      </c>
      <c r="D19" s="178">
        <f>IF(VLOOKUP(Assumptions!$D$11,setup!$B$17:$B$22,1,)=B19,1,0)</f>
        <v>0</v>
      </c>
      <c r="F19" s="217">
        <v>2</v>
      </c>
      <c r="G19" s="198">
        <v>0.9</v>
      </c>
      <c r="H19" s="198">
        <f t="shared" ref="H19:H22" si="7">1-G19-I19</f>
        <v>9.9999999999999978E-2</v>
      </c>
      <c r="I19" s="208">
        <v>0</v>
      </c>
      <c r="K19" s="213">
        <f t="shared" ref="K19:K22" si="8">SUM(G19:I19)</f>
        <v>1</v>
      </c>
      <c r="V19" s="18" t="s">
        <v>54</v>
      </c>
      <c r="W19" s="178" t="b">
        <v>1</v>
      </c>
      <c r="X19" s="178">
        <f t="shared" si="6"/>
        <v>1</v>
      </c>
      <c r="Y19" s="178">
        <v>1</v>
      </c>
    </row>
    <row r="20" spans="2:31">
      <c r="B20" s="186" t="s">
        <v>31</v>
      </c>
      <c r="C20" s="335">
        <f>D20*Assumptions!$D$9</f>
        <v>0</v>
      </c>
      <c r="D20" s="178">
        <f>IF(VLOOKUP(Assumptions!$D$11,setup!$B$17:$B$22,1,)=B20,1,0)</f>
        <v>0</v>
      </c>
      <c r="F20" s="217">
        <v>3</v>
      </c>
      <c r="G20" s="198">
        <v>0.8</v>
      </c>
      <c r="H20" s="198">
        <f t="shared" si="7"/>
        <v>0.19999999999999996</v>
      </c>
      <c r="I20" s="208">
        <v>0</v>
      </c>
      <c r="K20" s="213">
        <f t="shared" si="8"/>
        <v>1</v>
      </c>
      <c r="V20" s="18" t="s">
        <v>55</v>
      </c>
      <c r="W20" s="178" t="b">
        <v>1</v>
      </c>
      <c r="X20" s="178">
        <f t="shared" si="6"/>
        <v>1</v>
      </c>
      <c r="Y20" s="178">
        <f>X20*Assumptions!$M$67</f>
        <v>12</v>
      </c>
    </row>
    <row r="21" spans="2:31">
      <c r="B21" s="186" t="s">
        <v>106</v>
      </c>
      <c r="C21" s="335">
        <f>D21*Assumptions!$D$9</f>
        <v>0</v>
      </c>
      <c r="D21" s="178">
        <f>IF(VLOOKUP(Assumptions!$D$11,setup!$B$17:$B$22,1,)=B21,1,0)</f>
        <v>0</v>
      </c>
      <c r="F21" s="217">
        <v>4</v>
      </c>
      <c r="G21" s="198">
        <v>0.7</v>
      </c>
      <c r="H21" s="198">
        <f t="shared" si="7"/>
        <v>0.30000000000000004</v>
      </c>
      <c r="I21" s="208">
        <v>0</v>
      </c>
      <c r="K21" s="213">
        <f t="shared" si="8"/>
        <v>1</v>
      </c>
    </row>
    <row r="22" spans="2:31" ht="13.5" thickBot="1">
      <c r="B22" s="186" t="s">
        <v>324</v>
      </c>
      <c r="D22" s="178">
        <f>IF(VLOOKUP(Assumptions!$D$11,setup!$B$17:$B$22,1,)=B22,1,0)</f>
        <v>1</v>
      </c>
      <c r="F22" s="217">
        <v>5</v>
      </c>
      <c r="G22" s="198">
        <v>0.6</v>
      </c>
      <c r="H22" s="198">
        <f t="shared" si="7"/>
        <v>0.4</v>
      </c>
      <c r="I22" s="208">
        <v>0</v>
      </c>
      <c r="K22" s="213">
        <f t="shared" si="8"/>
        <v>1</v>
      </c>
    </row>
    <row r="23" spans="2:31" ht="13.5" thickBot="1">
      <c r="F23" s="217">
        <v>6</v>
      </c>
      <c r="G23" s="214">
        <v>0</v>
      </c>
      <c r="H23" s="218">
        <f>1-G23-I23</f>
        <v>1</v>
      </c>
      <c r="I23" s="214">
        <v>0</v>
      </c>
      <c r="K23" s="213">
        <f>SUM(G24:I24)</f>
        <v>1</v>
      </c>
      <c r="Y23" s="337" t="s">
        <v>442</v>
      </c>
      <c r="Z23" s="337" t="s">
        <v>443</v>
      </c>
    </row>
    <row r="24" spans="2:31">
      <c r="F24" s="217">
        <v>7</v>
      </c>
      <c r="G24" s="204">
        <v>0.5</v>
      </c>
      <c r="H24" s="204">
        <f>1-G24-I24</f>
        <v>0.4</v>
      </c>
      <c r="I24" s="204">
        <v>0.1</v>
      </c>
      <c r="K24" s="213">
        <f>SUM(G26:I26)</f>
        <v>1</v>
      </c>
      <c r="V24" s="178" t="s">
        <v>440</v>
      </c>
      <c r="W24" s="178" t="b">
        <v>1</v>
      </c>
      <c r="X24" s="178">
        <f>IF(setup!W24,Assumptions!M11,0)</f>
        <v>800</v>
      </c>
      <c r="Y24" s="178">
        <f>IF(W24,Assumptions!M9,0)</f>
        <v>500</v>
      </c>
      <c r="Z24" s="178">
        <f>X24-Y24</f>
        <v>300</v>
      </c>
    </row>
    <row r="25" spans="2:31">
      <c r="F25" s="217">
        <v>8</v>
      </c>
      <c r="G25" s="215">
        <v>0.1</v>
      </c>
      <c r="H25" s="215">
        <v>0.8</v>
      </c>
      <c r="I25" s="215">
        <f>1-G25-H25</f>
        <v>9.9999999999999978E-2</v>
      </c>
      <c r="K25" s="213">
        <f>SUM(G28:I28)</f>
        <v>1</v>
      </c>
    </row>
    <row r="26" spans="2:31">
      <c r="F26" s="217">
        <v>9</v>
      </c>
      <c r="G26" s="199">
        <v>0.4</v>
      </c>
      <c r="H26" s="199">
        <f>1-G26-I26</f>
        <v>0.39999999999999997</v>
      </c>
      <c r="I26" s="199">
        <v>0.2</v>
      </c>
      <c r="K26" s="213">
        <f>SUM(G30:I30)</f>
        <v>1</v>
      </c>
      <c r="X26" s="178">
        <f>Assumptions!O15/Assumptions!O11</f>
        <v>150</v>
      </c>
      <c r="Y26" s="178" t="s">
        <v>444</v>
      </c>
      <c r="Z26" s="178" t="s">
        <v>445</v>
      </c>
    </row>
    <row r="27" spans="2:31">
      <c r="F27" s="217">
        <v>10</v>
      </c>
      <c r="G27" s="215">
        <v>0.3</v>
      </c>
      <c r="H27" s="215">
        <v>0.6</v>
      </c>
      <c r="I27" s="215">
        <f>1-G27-H27</f>
        <v>9.9999999999999978E-2</v>
      </c>
      <c r="K27" s="213">
        <f>SUM(G32:I32)</f>
        <v>1</v>
      </c>
      <c r="V27" s="178" t="s">
        <v>441</v>
      </c>
      <c r="W27" s="178" t="b">
        <v>1</v>
      </c>
      <c r="X27" s="178">
        <f>IF(setup!W27,Assumptions!O11,0)</f>
        <v>20</v>
      </c>
      <c r="Y27" s="178">
        <f>IF(X26&gt;=300,0,X27)</f>
        <v>20</v>
      </c>
      <c r="Z27" s="178">
        <f>X27-Y27</f>
        <v>0</v>
      </c>
    </row>
    <row r="28" spans="2:31">
      <c r="F28" s="217">
        <v>11</v>
      </c>
      <c r="G28" s="199">
        <v>0.3</v>
      </c>
      <c r="H28" s="199">
        <f>1-G28-I28</f>
        <v>0.39999999999999997</v>
      </c>
      <c r="I28" s="199">
        <v>0.3</v>
      </c>
      <c r="K28" s="213">
        <f>SUM(G23:I23)</f>
        <v>1</v>
      </c>
    </row>
    <row r="29" spans="2:31">
      <c r="F29" s="217">
        <v>12</v>
      </c>
      <c r="G29" s="215">
        <v>0.3</v>
      </c>
      <c r="H29" s="215">
        <v>0.4</v>
      </c>
      <c r="I29" s="215">
        <f>1-G29-H29</f>
        <v>0.29999999999999993</v>
      </c>
      <c r="K29" s="213">
        <f>SUM(G25:I25)</f>
        <v>1</v>
      </c>
      <c r="T29" s="198"/>
      <c r="U29" s="342" t="s">
        <v>447</v>
      </c>
      <c r="V29" s="343">
        <v>45</v>
      </c>
      <c r="W29" s="199">
        <f>Assumptions!M15/Assumptions!M11</f>
        <v>15</v>
      </c>
      <c r="X29" s="199" t="s">
        <v>448</v>
      </c>
    </row>
    <row r="30" spans="2:31">
      <c r="F30" s="217">
        <v>13</v>
      </c>
      <c r="G30" s="199">
        <v>0.2</v>
      </c>
      <c r="H30" s="199">
        <f>1-G30-I30</f>
        <v>0.4</v>
      </c>
      <c r="I30" s="199">
        <v>0.4</v>
      </c>
      <c r="K30" s="213">
        <f>SUM(G27:I27)</f>
        <v>0.99999999999999989</v>
      </c>
      <c r="T30" s="178">
        <v>1</v>
      </c>
      <c r="X30" s="178">
        <v>0</v>
      </c>
      <c r="Y30" s="178">
        <v>3</v>
      </c>
      <c r="Z30" s="178">
        <v>5</v>
      </c>
      <c r="AA30" s="178">
        <v>7</v>
      </c>
      <c r="AB30" s="178">
        <v>15</v>
      </c>
      <c r="AC30" s="178">
        <v>20</v>
      </c>
      <c r="AD30" s="178">
        <v>25</v>
      </c>
      <c r="AE30" s="178">
        <v>30</v>
      </c>
    </row>
    <row r="31" spans="2:31">
      <c r="F31" s="217">
        <v>14</v>
      </c>
      <c r="G31" s="215">
        <v>0.5</v>
      </c>
      <c r="H31" s="215">
        <v>0.2</v>
      </c>
      <c r="I31" s="215">
        <f>1-G31-H31</f>
        <v>0.3</v>
      </c>
      <c r="K31" s="213">
        <f>SUM(G29:I29)</f>
        <v>0.99999999999999989</v>
      </c>
      <c r="T31" s="178">
        <v>2</v>
      </c>
      <c r="U31" s="340"/>
      <c r="V31" s="341" t="s">
        <v>32</v>
      </c>
      <c r="W31" s="344">
        <f>HLOOKUP($W$29,$X$30:$AE$48,$T31)*$W$50</f>
        <v>251.99999999999997</v>
      </c>
      <c r="X31" s="184">
        <v>1</v>
      </c>
      <c r="Y31" s="184">
        <v>0.95</v>
      </c>
      <c r="Z31" s="184">
        <v>0.8</v>
      </c>
      <c r="AA31" s="184">
        <v>0.75</v>
      </c>
      <c r="AB31" s="184">
        <v>0.7</v>
      </c>
      <c r="AC31" s="184">
        <v>0.7</v>
      </c>
      <c r="AD31" s="184">
        <v>0.6</v>
      </c>
      <c r="AE31" s="184">
        <v>0.55000000000000004</v>
      </c>
    </row>
    <row r="32" spans="2:31">
      <c r="F32" s="217">
        <v>15</v>
      </c>
      <c r="G32" s="199">
        <v>0.1</v>
      </c>
      <c r="H32" s="199">
        <f t="shared" ref="H32:H37" si="9">1-G32-I32</f>
        <v>0.4</v>
      </c>
      <c r="I32" s="204">
        <v>0.5</v>
      </c>
      <c r="K32" s="213">
        <f>SUM(G31:I31)</f>
        <v>1</v>
      </c>
      <c r="T32" s="178">
        <v>3</v>
      </c>
      <c r="U32" s="340"/>
      <c r="V32" s="341" t="s">
        <v>33</v>
      </c>
      <c r="W32" s="344">
        <f t="shared" ref="W32:W48" si="10">HLOOKUP($W$29,$X$30:$AE$48,$T32)*$W$50</f>
        <v>72</v>
      </c>
      <c r="X32" s="184"/>
      <c r="Y32" s="184">
        <v>0.05</v>
      </c>
      <c r="Z32" s="184">
        <v>0.1</v>
      </c>
      <c r="AA32" s="184">
        <v>0.17</v>
      </c>
      <c r="AB32" s="184">
        <v>0.2</v>
      </c>
      <c r="AC32" s="184">
        <v>0.15</v>
      </c>
      <c r="AD32" s="184">
        <v>0.2</v>
      </c>
      <c r="AE32" s="184">
        <v>0.18</v>
      </c>
    </row>
    <row r="33" spans="6:31">
      <c r="F33" s="217">
        <v>16</v>
      </c>
      <c r="G33" s="209">
        <v>0</v>
      </c>
      <c r="H33" s="206">
        <f t="shared" si="9"/>
        <v>0.4</v>
      </c>
      <c r="I33" s="206">
        <v>0.6</v>
      </c>
      <c r="K33" s="213">
        <f>SUM(G33:I33)</f>
        <v>1</v>
      </c>
      <c r="T33" s="178">
        <v>4</v>
      </c>
      <c r="U33" s="340"/>
      <c r="V33" s="341" t="s">
        <v>34</v>
      </c>
      <c r="W33" s="344">
        <f t="shared" si="10"/>
        <v>18</v>
      </c>
      <c r="X33" s="184"/>
      <c r="Y33" s="184"/>
      <c r="Z33" s="184">
        <v>0.05</v>
      </c>
      <c r="AA33" s="184">
        <v>0.05</v>
      </c>
      <c r="AB33" s="184">
        <v>0.05</v>
      </c>
      <c r="AC33" s="184">
        <v>0.05</v>
      </c>
      <c r="AD33" s="184">
        <v>0.05</v>
      </c>
      <c r="AE33" s="184">
        <v>7.0000000000000007E-2</v>
      </c>
    </row>
    <row r="34" spans="6:31">
      <c r="F34" s="217">
        <v>17</v>
      </c>
      <c r="G34" s="210">
        <v>0</v>
      </c>
      <c r="H34" s="191">
        <f t="shared" si="9"/>
        <v>0.30000000000000004</v>
      </c>
      <c r="I34" s="191">
        <v>0.7</v>
      </c>
      <c r="K34" s="213">
        <f>SUM(G34:I34)</f>
        <v>1</v>
      </c>
      <c r="T34" s="178">
        <v>5</v>
      </c>
      <c r="U34" s="340"/>
      <c r="V34" s="341" t="s">
        <v>35</v>
      </c>
      <c r="W34" s="344">
        <f t="shared" si="10"/>
        <v>10.799999999999999</v>
      </c>
      <c r="X34" s="184"/>
      <c r="Y34" s="184"/>
      <c r="Z34" s="184">
        <v>0.05</v>
      </c>
      <c r="AA34" s="184">
        <v>0.02</v>
      </c>
      <c r="AB34" s="184">
        <v>0.03</v>
      </c>
      <c r="AC34" s="184">
        <v>0.05</v>
      </c>
      <c r="AD34" s="184">
        <v>0.03</v>
      </c>
      <c r="AE34" s="184">
        <v>0.04</v>
      </c>
    </row>
    <row r="35" spans="6:31">
      <c r="F35" s="217">
        <v>18</v>
      </c>
      <c r="G35" s="210">
        <v>0</v>
      </c>
      <c r="H35" s="191">
        <f t="shared" si="9"/>
        <v>0.19999999999999996</v>
      </c>
      <c r="I35" s="191">
        <v>0.8</v>
      </c>
      <c r="K35" s="213">
        <f>SUM(G35:I35)</f>
        <v>1</v>
      </c>
      <c r="T35" s="178">
        <v>6</v>
      </c>
      <c r="U35" s="340"/>
      <c r="V35" s="341" t="s">
        <v>36</v>
      </c>
      <c r="W35" s="344">
        <f t="shared" si="10"/>
        <v>7.2</v>
      </c>
      <c r="X35" s="184"/>
      <c r="Y35" s="184"/>
      <c r="Z35" s="184"/>
      <c r="AA35" s="184">
        <v>0.01</v>
      </c>
      <c r="AB35" s="184">
        <v>0.02</v>
      </c>
      <c r="AC35" s="184">
        <v>0.05</v>
      </c>
      <c r="AD35" s="184">
        <v>0.02</v>
      </c>
      <c r="AE35" s="184">
        <v>0.03</v>
      </c>
    </row>
    <row r="36" spans="6:31" ht="13.5" thickBot="1">
      <c r="F36" s="217">
        <v>19</v>
      </c>
      <c r="G36" s="210">
        <v>0</v>
      </c>
      <c r="H36" s="191">
        <f t="shared" si="9"/>
        <v>9.9999999999999978E-2</v>
      </c>
      <c r="I36" s="191">
        <v>0.9</v>
      </c>
      <c r="K36" s="213">
        <f>SUM(G36:I36)</f>
        <v>1</v>
      </c>
      <c r="T36" s="178">
        <v>7</v>
      </c>
      <c r="U36" s="340"/>
      <c r="V36" s="341" t="s">
        <v>37</v>
      </c>
      <c r="W36" s="344">
        <f t="shared" si="10"/>
        <v>0</v>
      </c>
      <c r="X36" s="184"/>
      <c r="Y36" s="184"/>
      <c r="Z36" s="184"/>
      <c r="AA36" s="184"/>
      <c r="AB36" s="184"/>
      <c r="AC36" s="184"/>
      <c r="AD36" s="184">
        <v>0.03</v>
      </c>
      <c r="AE36" s="184">
        <v>0.02</v>
      </c>
    </row>
    <row r="37" spans="6:31" ht="13.5" thickBot="1">
      <c r="F37" s="217">
        <v>20</v>
      </c>
      <c r="G37" s="209">
        <v>0</v>
      </c>
      <c r="H37" s="206">
        <f t="shared" si="9"/>
        <v>0</v>
      </c>
      <c r="I37" s="212">
        <v>1</v>
      </c>
      <c r="K37" s="213">
        <f>SUM(G37:I37)</f>
        <v>1</v>
      </c>
      <c r="T37" s="178">
        <v>8</v>
      </c>
      <c r="U37" s="340"/>
      <c r="V37" s="341" t="s">
        <v>38</v>
      </c>
      <c r="W37" s="344">
        <f t="shared" si="10"/>
        <v>0</v>
      </c>
      <c r="X37" s="184"/>
      <c r="Y37" s="184"/>
      <c r="Z37" s="184"/>
      <c r="AA37" s="184"/>
      <c r="AB37" s="184"/>
      <c r="AC37" s="184"/>
      <c r="AD37" s="184"/>
      <c r="AE37" s="184">
        <v>0.01</v>
      </c>
    </row>
    <row r="38" spans="6:31">
      <c r="T38" s="178">
        <v>9</v>
      </c>
      <c r="U38" s="340"/>
      <c r="V38" s="341" t="s">
        <v>39</v>
      </c>
      <c r="W38" s="344">
        <f t="shared" si="10"/>
        <v>0</v>
      </c>
      <c r="X38" s="184"/>
      <c r="Y38" s="184"/>
      <c r="Z38" s="184"/>
      <c r="AA38" s="184"/>
      <c r="AB38" s="184"/>
      <c r="AC38" s="184"/>
      <c r="AD38" s="184"/>
      <c r="AE38" s="184">
        <v>0.01</v>
      </c>
    </row>
    <row r="39" spans="6:31">
      <c r="T39" s="178">
        <v>10</v>
      </c>
      <c r="U39" s="340"/>
      <c r="V39" s="341" t="s">
        <v>40</v>
      </c>
      <c r="W39" s="344">
        <f t="shared" si="10"/>
        <v>0</v>
      </c>
      <c r="X39" s="184"/>
      <c r="Y39" s="184"/>
      <c r="Z39" s="184"/>
      <c r="AA39" s="184"/>
      <c r="AB39" s="184"/>
      <c r="AC39" s="184"/>
      <c r="AD39" s="184"/>
      <c r="AE39" s="184"/>
    </row>
    <row r="40" spans="6:31">
      <c r="T40" s="178">
        <v>11</v>
      </c>
      <c r="U40" s="340"/>
      <c r="V40" s="341" t="s">
        <v>41</v>
      </c>
      <c r="W40" s="344">
        <f t="shared" si="10"/>
        <v>0</v>
      </c>
      <c r="X40" s="184"/>
      <c r="Y40" s="184"/>
      <c r="Z40" s="184"/>
      <c r="AA40" s="184"/>
      <c r="AB40" s="184"/>
      <c r="AC40" s="184"/>
      <c r="AD40" s="184">
        <v>0.05</v>
      </c>
      <c r="AE40" s="184">
        <v>0.06</v>
      </c>
    </row>
    <row r="41" spans="6:31">
      <c r="T41" s="178">
        <v>12</v>
      </c>
      <c r="U41" s="340"/>
      <c r="V41" s="341" t="s">
        <v>42</v>
      </c>
      <c r="W41" s="344">
        <f t="shared" si="10"/>
        <v>0</v>
      </c>
      <c r="X41" s="184"/>
      <c r="Y41" s="184"/>
      <c r="Z41" s="184"/>
      <c r="AA41" s="184"/>
      <c r="AB41" s="184"/>
      <c r="AC41" s="184"/>
      <c r="AD41" s="184">
        <v>0.02</v>
      </c>
      <c r="AE41" s="184">
        <v>0.02</v>
      </c>
    </row>
    <row r="42" spans="6:31">
      <c r="T42" s="178">
        <v>13</v>
      </c>
      <c r="U42" s="340"/>
      <c r="V42" s="341" t="s">
        <v>43</v>
      </c>
      <c r="W42" s="344">
        <f t="shared" si="10"/>
        <v>0</v>
      </c>
      <c r="X42" s="184"/>
      <c r="Y42" s="184"/>
      <c r="Z42" s="184"/>
      <c r="AA42" s="184"/>
      <c r="AB42" s="184"/>
      <c r="AC42" s="184"/>
      <c r="AD42" s="184"/>
      <c r="AE42" s="184">
        <v>0.01</v>
      </c>
    </row>
    <row r="43" spans="6:31">
      <c r="T43" s="178">
        <v>14</v>
      </c>
      <c r="U43" s="340"/>
      <c r="V43" s="341" t="s">
        <v>44</v>
      </c>
      <c r="W43" s="344">
        <f t="shared" si="10"/>
        <v>0</v>
      </c>
      <c r="X43" s="184"/>
      <c r="Y43" s="184"/>
      <c r="Z43" s="184"/>
      <c r="AA43" s="184"/>
      <c r="AB43" s="184"/>
      <c r="AC43" s="184"/>
      <c r="AD43" s="184"/>
      <c r="AE43" s="184"/>
    </row>
    <row r="44" spans="6:31">
      <c r="T44" s="178">
        <v>15</v>
      </c>
      <c r="U44" s="340"/>
      <c r="V44" s="341" t="s">
        <v>45</v>
      </c>
      <c r="W44" s="344">
        <f t="shared" si="10"/>
        <v>0</v>
      </c>
      <c r="X44" s="184"/>
      <c r="Y44" s="184"/>
      <c r="Z44" s="184"/>
      <c r="AA44" s="184"/>
      <c r="AB44" s="184"/>
      <c r="AC44" s="184"/>
      <c r="AD44" s="184"/>
      <c r="AE44" s="184"/>
    </row>
    <row r="45" spans="6:31">
      <c r="T45" s="178">
        <v>16</v>
      </c>
      <c r="U45" s="340"/>
      <c r="V45" s="341" t="s">
        <v>46</v>
      </c>
      <c r="W45" s="344">
        <f t="shared" si="10"/>
        <v>0</v>
      </c>
      <c r="X45" s="184"/>
      <c r="Y45" s="184"/>
      <c r="Z45" s="184"/>
      <c r="AA45" s="184"/>
      <c r="AB45" s="184"/>
      <c r="AC45" s="184"/>
      <c r="AD45" s="184"/>
      <c r="AE45" s="184"/>
    </row>
    <row r="46" spans="6:31">
      <c r="T46" s="178">
        <v>17</v>
      </c>
      <c r="U46" s="340"/>
      <c r="V46" s="341" t="s">
        <v>47</v>
      </c>
      <c r="W46" s="344">
        <f t="shared" si="10"/>
        <v>0</v>
      </c>
      <c r="X46" s="184"/>
      <c r="Y46" s="184"/>
      <c r="Z46" s="184"/>
      <c r="AA46" s="184"/>
      <c r="AB46" s="184"/>
      <c r="AC46" s="184"/>
      <c r="AD46" s="184"/>
      <c r="AE46" s="184"/>
    </row>
    <row r="47" spans="6:31">
      <c r="T47" s="178">
        <v>18</v>
      </c>
      <c r="U47" s="340"/>
      <c r="V47" s="341" t="s">
        <v>48</v>
      </c>
      <c r="W47" s="344">
        <f t="shared" si="10"/>
        <v>0</v>
      </c>
      <c r="X47" s="184"/>
      <c r="Y47" s="184"/>
      <c r="Z47" s="184"/>
      <c r="AA47" s="184"/>
      <c r="AB47" s="184"/>
      <c r="AC47" s="184"/>
      <c r="AD47" s="184"/>
      <c r="AE47" s="184"/>
    </row>
    <row r="48" spans="6:31">
      <c r="T48" s="178">
        <v>19</v>
      </c>
      <c r="U48" s="340"/>
      <c r="V48" s="341" t="s">
        <v>49</v>
      </c>
      <c r="W48" s="344">
        <f t="shared" si="10"/>
        <v>0</v>
      </c>
      <c r="X48" s="184"/>
      <c r="Y48" s="184"/>
      <c r="Z48" s="184"/>
      <c r="AA48" s="184"/>
      <c r="AB48" s="184"/>
      <c r="AC48" s="184"/>
      <c r="AD48" s="184"/>
      <c r="AE48" s="184"/>
    </row>
    <row r="49" spans="23:31">
      <c r="W49" s="346">
        <f>SUM(W31:W48)</f>
        <v>360</v>
      </c>
      <c r="X49" s="347">
        <f>SUM(X31:X48)</f>
        <v>1</v>
      </c>
      <c r="Y49" s="347">
        <f t="shared" ref="Y49:AE49" si="11">SUM(Y31:Y48)</f>
        <v>1</v>
      </c>
      <c r="Z49" s="347">
        <f t="shared" si="11"/>
        <v>1</v>
      </c>
      <c r="AA49" s="347">
        <f t="shared" si="11"/>
        <v>1</v>
      </c>
      <c r="AB49" s="347">
        <f t="shared" si="11"/>
        <v>1</v>
      </c>
      <c r="AC49" s="347">
        <f t="shared" si="11"/>
        <v>1</v>
      </c>
      <c r="AD49" s="347">
        <f t="shared" si="11"/>
        <v>1.0000000000000002</v>
      </c>
      <c r="AE49" s="347">
        <f t="shared" si="11"/>
        <v>1.0000000000000002</v>
      </c>
    </row>
    <row r="50" spans="23:31">
      <c r="W50" s="345">
        <f>V29/100*Assumptions!M11</f>
        <v>360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0"/>
  <sheetViews>
    <sheetView tabSelected="1" topLeftCell="A28" zoomScale="110" zoomScaleNormal="110" workbookViewId="0">
      <selection activeCell="B50" sqref="B50:H50"/>
    </sheetView>
  </sheetViews>
  <sheetFormatPr defaultRowHeight="12.75"/>
  <cols>
    <col min="1" max="1" width="4.42578125" customWidth="1"/>
    <col min="2" max="2" width="53.42578125" customWidth="1"/>
    <col min="3" max="3" width="7.42578125" customWidth="1"/>
    <col min="4" max="4" width="15.85546875" style="405" customWidth="1"/>
    <col min="5" max="5" width="16.140625" style="418" customWidth="1"/>
    <col min="6" max="6" width="15.85546875" style="405" customWidth="1"/>
    <col min="7" max="8" width="14.140625" customWidth="1"/>
    <col min="11" max="11" width="9.7109375" bestFit="1" customWidth="1"/>
  </cols>
  <sheetData>
    <row r="2" spans="1:10" ht="76.5" customHeight="1">
      <c r="B2" s="512" t="s">
        <v>600</v>
      </c>
      <c r="C2" s="512"/>
      <c r="D2" s="512"/>
      <c r="E2" s="512"/>
      <c r="F2" s="512"/>
      <c r="G2" s="512"/>
      <c r="H2" s="512"/>
    </row>
    <row r="3" spans="1:10" ht="13.5" thickBot="1"/>
    <row r="4" spans="1:10" ht="33.75" customHeight="1" thickBot="1">
      <c r="A4" s="526" t="s">
        <v>555</v>
      </c>
      <c r="B4" s="536" t="s">
        <v>556</v>
      </c>
      <c r="C4" s="537"/>
      <c r="D4" s="402" t="s">
        <v>557</v>
      </c>
      <c r="E4" s="532" t="s">
        <v>593</v>
      </c>
      <c r="F4" s="401" t="s">
        <v>594</v>
      </c>
      <c r="G4" s="399" t="s">
        <v>558</v>
      </c>
      <c r="H4" s="399" t="s">
        <v>594</v>
      </c>
    </row>
    <row r="5" spans="1:10" ht="20.45" customHeight="1" thickBot="1">
      <c r="A5" s="527"/>
      <c r="B5" s="538"/>
      <c r="C5" s="539"/>
      <c r="D5" s="413" t="s">
        <v>571</v>
      </c>
      <c r="E5" s="533"/>
      <c r="F5" s="416" t="s">
        <v>571</v>
      </c>
      <c r="G5" s="416" t="s">
        <v>559</v>
      </c>
      <c r="H5" s="416" t="s">
        <v>572</v>
      </c>
    </row>
    <row r="6" spans="1:10" ht="23.25" customHeight="1" thickBot="1">
      <c r="A6" s="528"/>
      <c r="B6" s="534" t="s">
        <v>560</v>
      </c>
      <c r="C6" s="535"/>
      <c r="D6" s="403" t="s">
        <v>561</v>
      </c>
      <c r="E6" s="413" t="s">
        <v>562</v>
      </c>
      <c r="F6" s="400" t="s">
        <v>596</v>
      </c>
      <c r="G6" s="400" t="s">
        <v>595</v>
      </c>
      <c r="H6" s="400" t="s">
        <v>597</v>
      </c>
    </row>
    <row r="7" spans="1:10" ht="13.5" thickBot="1">
      <c r="A7" s="520" t="s">
        <v>599</v>
      </c>
      <c r="B7" s="525"/>
      <c r="C7" s="525"/>
      <c r="D7" s="525"/>
      <c r="E7" s="525"/>
      <c r="F7" s="525"/>
      <c r="G7" s="525"/>
      <c r="H7" s="521"/>
    </row>
    <row r="8" spans="1:10" ht="23.25" customHeight="1" thickBot="1">
      <c r="A8" s="401">
        <v>1</v>
      </c>
      <c r="B8" s="520" t="s">
        <v>606</v>
      </c>
      <c r="C8" s="521"/>
      <c r="D8" s="422"/>
      <c r="E8" s="416">
        <v>1</v>
      </c>
      <c r="F8" s="425">
        <f>D8*E8</f>
        <v>0</v>
      </c>
      <c r="G8" s="415"/>
      <c r="H8" s="414">
        <f>F8+G8</f>
        <v>0</v>
      </c>
    </row>
    <row r="9" spans="1:10" ht="23.25" customHeight="1" thickBot="1">
      <c r="A9" s="426">
        <v>2</v>
      </c>
      <c r="B9" s="523" t="s">
        <v>607</v>
      </c>
      <c r="C9" s="524"/>
      <c r="D9" s="427"/>
      <c r="E9" s="400">
        <v>200</v>
      </c>
      <c r="F9" s="425">
        <f>D9*E9</f>
        <v>0</v>
      </c>
      <c r="G9" s="428"/>
      <c r="H9" s="414"/>
    </row>
    <row r="10" spans="1:10" ht="23.25" customHeight="1" thickBot="1">
      <c r="A10" s="520" t="s">
        <v>563</v>
      </c>
      <c r="B10" s="525"/>
      <c r="C10" s="525"/>
      <c r="D10" s="525"/>
      <c r="E10" s="525"/>
      <c r="F10" s="525"/>
      <c r="G10" s="525"/>
      <c r="H10" s="521"/>
    </row>
    <row r="11" spans="1:10" ht="13.5" thickBot="1">
      <c r="A11" s="411">
        <v>3</v>
      </c>
      <c r="B11" s="520" t="s">
        <v>564</v>
      </c>
      <c r="C11" s="521"/>
      <c r="D11" s="423"/>
      <c r="E11" s="419">
        <v>5</v>
      </c>
      <c r="F11" s="425">
        <f t="shared" ref="F11:F38" si="0">D11*E11</f>
        <v>0</v>
      </c>
      <c r="G11" s="407"/>
      <c r="H11" s="414">
        <f t="shared" ref="H11:H38" si="1">F11+G11</f>
        <v>0</v>
      </c>
    </row>
    <row r="12" spans="1:10" ht="13.5" thickBot="1">
      <c r="A12" s="411">
        <v>4</v>
      </c>
      <c r="B12" s="520" t="s">
        <v>567</v>
      </c>
      <c r="C12" s="521"/>
      <c r="D12" s="424"/>
      <c r="E12" s="419">
        <v>20</v>
      </c>
      <c r="F12" s="425">
        <f t="shared" si="0"/>
        <v>0</v>
      </c>
      <c r="G12" s="407"/>
      <c r="H12" s="414">
        <f t="shared" si="1"/>
        <v>0</v>
      </c>
    </row>
    <row r="13" spans="1:10" ht="21.6" customHeight="1" thickBot="1">
      <c r="A13" s="411">
        <v>5</v>
      </c>
      <c r="B13" s="520" t="s">
        <v>569</v>
      </c>
      <c r="C13" s="521"/>
      <c r="D13" s="424"/>
      <c r="E13" s="419">
        <v>5</v>
      </c>
      <c r="F13" s="425">
        <f t="shared" si="0"/>
        <v>0</v>
      </c>
      <c r="G13" s="407"/>
      <c r="H13" s="414">
        <f t="shared" si="1"/>
        <v>0</v>
      </c>
    </row>
    <row r="14" spans="1:10" ht="13.5" thickBot="1">
      <c r="A14" s="520" t="s">
        <v>573</v>
      </c>
      <c r="B14" s="525"/>
      <c r="C14" s="525"/>
      <c r="D14" s="525"/>
      <c r="E14" s="525"/>
      <c r="F14" s="525"/>
      <c r="G14" s="525"/>
      <c r="H14" s="521"/>
      <c r="J14" s="408"/>
    </row>
    <row r="15" spans="1:10" ht="13.5" thickBot="1">
      <c r="A15" s="406">
        <v>6</v>
      </c>
      <c r="B15" s="515" t="s">
        <v>575</v>
      </c>
      <c r="C15" s="516"/>
      <c r="D15" s="403"/>
      <c r="E15" s="419">
        <v>30</v>
      </c>
      <c r="F15" s="425">
        <f t="shared" si="0"/>
        <v>0</v>
      </c>
      <c r="G15" s="407"/>
      <c r="H15" s="414">
        <f t="shared" si="1"/>
        <v>0</v>
      </c>
    </row>
    <row r="16" spans="1:10" ht="13.5" thickBot="1">
      <c r="A16" s="411">
        <v>7</v>
      </c>
      <c r="B16" s="515" t="s">
        <v>576</v>
      </c>
      <c r="C16" s="516"/>
      <c r="D16" s="403"/>
      <c r="E16" s="419">
        <v>5</v>
      </c>
      <c r="F16" s="425">
        <f t="shared" si="0"/>
        <v>0</v>
      </c>
      <c r="G16" s="407"/>
      <c r="H16" s="414">
        <f t="shared" si="1"/>
        <v>0</v>
      </c>
    </row>
    <row r="17" spans="1:15" ht="13.5" thickBot="1">
      <c r="A17" s="411">
        <v>8</v>
      </c>
      <c r="B17" s="517" t="s">
        <v>565</v>
      </c>
      <c r="C17" s="518"/>
      <c r="D17" s="403"/>
      <c r="E17" s="419">
        <v>5</v>
      </c>
      <c r="F17" s="425">
        <f t="shared" si="0"/>
        <v>0</v>
      </c>
      <c r="G17" s="407"/>
      <c r="H17" s="414">
        <f t="shared" si="1"/>
        <v>0</v>
      </c>
      <c r="J17" s="408"/>
      <c r="K17" s="408"/>
    </row>
    <row r="18" spans="1:15" ht="13.5" thickBot="1">
      <c r="A18" s="412">
        <v>9</v>
      </c>
      <c r="B18" s="529" t="s">
        <v>574</v>
      </c>
      <c r="C18" s="530"/>
      <c r="D18" s="403"/>
      <c r="E18" s="419">
        <v>30</v>
      </c>
      <c r="F18" s="425">
        <f t="shared" si="0"/>
        <v>0</v>
      </c>
      <c r="G18" s="407"/>
      <c r="H18" s="414">
        <f t="shared" si="1"/>
        <v>0</v>
      </c>
      <c r="J18" s="408"/>
      <c r="K18" s="408"/>
    </row>
    <row r="19" spans="1:15" ht="13.5" thickBot="1">
      <c r="A19" s="517" t="s">
        <v>570</v>
      </c>
      <c r="B19" s="531"/>
      <c r="C19" s="531"/>
      <c r="D19" s="531"/>
      <c r="E19" s="531"/>
      <c r="F19" s="531"/>
      <c r="G19" s="531"/>
      <c r="H19" s="518"/>
      <c r="J19" s="408"/>
      <c r="K19" s="408"/>
    </row>
    <row r="20" spans="1:15" ht="13.5" thickBot="1">
      <c r="A20" s="412">
        <v>10</v>
      </c>
      <c r="B20" s="529" t="s">
        <v>577</v>
      </c>
      <c r="C20" s="530"/>
      <c r="D20" s="413"/>
      <c r="E20" s="420">
        <v>280</v>
      </c>
      <c r="F20" s="425">
        <f t="shared" si="0"/>
        <v>0</v>
      </c>
      <c r="G20" s="414"/>
      <c r="H20" s="414">
        <f t="shared" si="1"/>
        <v>0</v>
      </c>
      <c r="J20" s="408"/>
      <c r="K20" s="408"/>
    </row>
    <row r="21" spans="1:15" ht="13.5" thickBot="1">
      <c r="A21" s="520" t="s">
        <v>592</v>
      </c>
      <c r="B21" s="525"/>
      <c r="C21" s="525"/>
      <c r="D21" s="525"/>
      <c r="E21" s="525"/>
      <c r="F21" s="525"/>
      <c r="G21" s="525"/>
      <c r="H21" s="521"/>
    </row>
    <row r="22" spans="1:15" ht="13.5" thickBot="1">
      <c r="A22" s="401">
        <v>11</v>
      </c>
      <c r="B22" s="517" t="s">
        <v>578</v>
      </c>
      <c r="C22" s="518"/>
      <c r="D22" s="404"/>
      <c r="E22" s="419">
        <v>1</v>
      </c>
      <c r="F22" s="425">
        <f t="shared" si="0"/>
        <v>0</v>
      </c>
      <c r="G22" s="407"/>
      <c r="H22" s="414">
        <f t="shared" si="1"/>
        <v>0</v>
      </c>
    </row>
    <row r="23" spans="1:15" ht="13.5" thickBot="1">
      <c r="A23" s="411">
        <v>12</v>
      </c>
      <c r="B23" s="517" t="s">
        <v>579</v>
      </c>
      <c r="C23" s="518"/>
      <c r="D23" s="403"/>
      <c r="E23" s="419">
        <v>1</v>
      </c>
      <c r="F23" s="425">
        <f t="shared" si="0"/>
        <v>0</v>
      </c>
      <c r="G23" s="407"/>
      <c r="H23" s="414">
        <f t="shared" si="1"/>
        <v>0</v>
      </c>
    </row>
    <row r="24" spans="1:15" ht="13.5" thickBot="1">
      <c r="A24" s="401">
        <v>13</v>
      </c>
      <c r="B24" s="517" t="s">
        <v>580</v>
      </c>
      <c r="C24" s="518"/>
      <c r="D24" s="403"/>
      <c r="E24" s="419">
        <v>1</v>
      </c>
      <c r="F24" s="425">
        <f t="shared" si="0"/>
        <v>0</v>
      </c>
      <c r="G24" s="407"/>
      <c r="H24" s="414">
        <f t="shared" si="1"/>
        <v>0</v>
      </c>
    </row>
    <row r="25" spans="1:15" ht="13.5" thickBot="1">
      <c r="A25" s="417">
        <v>14</v>
      </c>
      <c r="B25" s="517" t="s">
        <v>581</v>
      </c>
      <c r="C25" s="518"/>
      <c r="D25" s="403"/>
      <c r="E25" s="419">
        <v>1</v>
      </c>
      <c r="F25" s="425">
        <f t="shared" si="0"/>
        <v>0</v>
      </c>
      <c r="G25" s="407"/>
      <c r="H25" s="414">
        <f t="shared" si="1"/>
        <v>0</v>
      </c>
    </row>
    <row r="26" spans="1:15" ht="13.5" thickBot="1">
      <c r="A26" s="401">
        <v>15</v>
      </c>
      <c r="B26" s="517" t="s">
        <v>582</v>
      </c>
      <c r="C26" s="518"/>
      <c r="D26" s="403"/>
      <c r="E26" s="419">
        <v>1</v>
      </c>
      <c r="F26" s="425">
        <f t="shared" si="0"/>
        <v>0</v>
      </c>
      <c r="G26" s="407"/>
      <c r="H26" s="414">
        <f t="shared" si="1"/>
        <v>0</v>
      </c>
    </row>
    <row r="27" spans="1:15" ht="13.5" thickBot="1">
      <c r="A27" s="417">
        <v>16</v>
      </c>
      <c r="B27" s="517" t="s">
        <v>583</v>
      </c>
      <c r="C27" s="518"/>
      <c r="D27" s="409"/>
      <c r="E27" s="421">
        <v>1</v>
      </c>
      <c r="F27" s="425">
        <f t="shared" si="0"/>
        <v>0</v>
      </c>
      <c r="G27" s="407"/>
      <c r="H27" s="414">
        <f t="shared" si="1"/>
        <v>0</v>
      </c>
      <c r="O27" s="408"/>
    </row>
    <row r="28" spans="1:15" ht="13.5" thickBot="1">
      <c r="A28" s="401">
        <v>17</v>
      </c>
      <c r="B28" s="517" t="s">
        <v>584</v>
      </c>
      <c r="C28" s="518"/>
      <c r="D28" s="403"/>
      <c r="E28" s="419">
        <v>1</v>
      </c>
      <c r="F28" s="425">
        <f t="shared" si="0"/>
        <v>0</v>
      </c>
      <c r="G28" s="407"/>
      <c r="H28" s="414">
        <f t="shared" si="1"/>
        <v>0</v>
      </c>
      <c r="O28" s="408"/>
    </row>
    <row r="29" spans="1:15" ht="13.5" thickBot="1">
      <c r="A29" s="417">
        <v>18</v>
      </c>
      <c r="B29" s="517" t="s">
        <v>585</v>
      </c>
      <c r="C29" s="518"/>
      <c r="D29" s="403"/>
      <c r="E29" s="419">
        <v>1</v>
      </c>
      <c r="F29" s="425">
        <f t="shared" si="0"/>
        <v>0</v>
      </c>
      <c r="G29" s="407"/>
      <c r="H29" s="414">
        <f t="shared" si="1"/>
        <v>0</v>
      </c>
    </row>
    <row r="30" spans="1:15" ht="13.5" thickBot="1">
      <c r="A30" s="401">
        <v>19</v>
      </c>
      <c r="B30" s="517" t="s">
        <v>586</v>
      </c>
      <c r="C30" s="518"/>
      <c r="D30" s="403"/>
      <c r="E30" s="419">
        <v>1</v>
      </c>
      <c r="F30" s="425">
        <f t="shared" si="0"/>
        <v>0</v>
      </c>
      <c r="G30" s="407"/>
      <c r="H30" s="414">
        <f t="shared" si="1"/>
        <v>0</v>
      </c>
    </row>
    <row r="31" spans="1:15" ht="13.5" thickBot="1">
      <c r="A31" s="417">
        <v>20</v>
      </c>
      <c r="B31" s="517" t="s">
        <v>587</v>
      </c>
      <c r="C31" s="518"/>
      <c r="D31" s="403"/>
      <c r="E31" s="419">
        <v>1</v>
      </c>
      <c r="F31" s="425">
        <f t="shared" si="0"/>
        <v>0</v>
      </c>
      <c r="G31" s="407"/>
      <c r="H31" s="414">
        <f t="shared" si="1"/>
        <v>0</v>
      </c>
    </row>
    <row r="32" spans="1:15" ht="13.5" thickBot="1">
      <c r="A32" s="401">
        <v>21</v>
      </c>
      <c r="B32" s="517" t="s">
        <v>588</v>
      </c>
      <c r="C32" s="518"/>
      <c r="D32" s="403"/>
      <c r="E32" s="419">
        <v>1</v>
      </c>
      <c r="F32" s="425">
        <f t="shared" si="0"/>
        <v>0</v>
      </c>
      <c r="G32" s="407"/>
      <c r="H32" s="414">
        <f t="shared" si="1"/>
        <v>0</v>
      </c>
    </row>
    <row r="33" spans="1:10" ht="13.5" thickBot="1">
      <c r="A33" s="417">
        <v>22</v>
      </c>
      <c r="B33" s="517" t="s">
        <v>589</v>
      </c>
      <c r="C33" s="518"/>
      <c r="D33" s="403"/>
      <c r="E33" s="419">
        <v>1</v>
      </c>
      <c r="F33" s="425">
        <f t="shared" si="0"/>
        <v>0</v>
      </c>
      <c r="G33" s="407"/>
      <c r="H33" s="414">
        <f t="shared" si="1"/>
        <v>0</v>
      </c>
    </row>
    <row r="34" spans="1:10" ht="13.5" thickBot="1">
      <c r="A34" s="401">
        <v>23</v>
      </c>
      <c r="B34" s="517" t="s">
        <v>590</v>
      </c>
      <c r="C34" s="518"/>
      <c r="D34" s="403"/>
      <c r="E34" s="419">
        <v>1</v>
      </c>
      <c r="F34" s="425">
        <f t="shared" si="0"/>
        <v>0</v>
      </c>
      <c r="G34" s="407"/>
      <c r="H34" s="414">
        <f t="shared" si="1"/>
        <v>0</v>
      </c>
    </row>
    <row r="35" spans="1:10" ht="13.5" thickBot="1">
      <c r="A35" s="417">
        <v>24</v>
      </c>
      <c r="B35" s="517" t="s">
        <v>591</v>
      </c>
      <c r="C35" s="518"/>
      <c r="D35" s="403"/>
      <c r="E35" s="419">
        <v>1</v>
      </c>
      <c r="F35" s="425">
        <f t="shared" si="0"/>
        <v>0</v>
      </c>
      <c r="G35" s="407"/>
      <c r="H35" s="414">
        <f t="shared" si="1"/>
        <v>0</v>
      </c>
    </row>
    <row r="36" spans="1:10" ht="13.5" thickBot="1">
      <c r="A36" s="401">
        <v>25</v>
      </c>
      <c r="B36" s="517" t="s">
        <v>566</v>
      </c>
      <c r="C36" s="518"/>
      <c r="D36" s="403"/>
      <c r="E36" s="419">
        <v>1</v>
      </c>
      <c r="F36" s="425">
        <f t="shared" si="0"/>
        <v>0</v>
      </c>
      <c r="G36" s="407"/>
      <c r="H36" s="414">
        <f t="shared" si="1"/>
        <v>0</v>
      </c>
    </row>
    <row r="37" spans="1:10" ht="13.5" thickBot="1">
      <c r="A37" s="520" t="s">
        <v>568</v>
      </c>
      <c r="B37" s="525"/>
      <c r="C37" s="525"/>
      <c r="D37" s="525"/>
      <c r="E37" s="525"/>
      <c r="F37" s="525"/>
      <c r="G37" s="525"/>
      <c r="H37" s="521"/>
      <c r="J37" s="408"/>
    </row>
    <row r="38" spans="1:10" ht="15.75" customHeight="1" thickBot="1">
      <c r="A38" s="410">
        <v>26</v>
      </c>
      <c r="B38" s="515" t="s">
        <v>598</v>
      </c>
      <c r="C38" s="516"/>
      <c r="D38" s="403"/>
      <c r="E38" s="419">
        <v>5</v>
      </c>
      <c r="F38" s="425">
        <f t="shared" si="0"/>
        <v>0</v>
      </c>
      <c r="G38" s="407"/>
      <c r="H38" s="414">
        <f t="shared" si="1"/>
        <v>0</v>
      </c>
    </row>
    <row r="39" spans="1:10" ht="15.75" customHeight="1" thickBot="1">
      <c r="A39" s="412"/>
      <c r="B39" s="440"/>
      <c r="C39" s="440"/>
      <c r="D39" s="441"/>
      <c r="E39" s="442"/>
      <c r="F39" s="438"/>
      <c r="G39" s="443"/>
      <c r="H39" s="439"/>
    </row>
    <row r="40" spans="1:10" ht="13.5" thickBot="1">
      <c r="A40" s="429"/>
      <c r="B40" s="513" t="s">
        <v>603</v>
      </c>
      <c r="C40" s="513"/>
      <c r="D40" s="513"/>
      <c r="E40" s="513"/>
      <c r="F40" s="425"/>
      <c r="G40" s="414"/>
      <c r="H40" s="414"/>
    </row>
    <row r="41" spans="1:10">
      <c r="A41" s="519"/>
      <c r="B41" s="519"/>
      <c r="C41" s="519"/>
      <c r="D41" s="519"/>
      <c r="E41" s="434"/>
      <c r="F41" s="435"/>
      <c r="G41" s="436"/>
      <c r="H41" s="437"/>
    </row>
    <row r="42" spans="1:10" ht="13.5" thickBot="1"/>
    <row r="43" spans="1:10" ht="15">
      <c r="B43" s="430"/>
      <c r="C43" s="431"/>
      <c r="D43" s="431"/>
      <c r="E43" s="431"/>
      <c r="F43" s="431"/>
    </row>
    <row r="44" spans="1:10" ht="51" customHeight="1">
      <c r="B44" s="569" t="s">
        <v>604</v>
      </c>
      <c r="C44" s="569"/>
      <c r="D44" s="569"/>
      <c r="E44" s="569"/>
      <c r="F44" s="569"/>
      <c r="G44" s="569"/>
      <c r="H44" s="569"/>
    </row>
    <row r="45" spans="1:10">
      <c r="B45" s="432"/>
      <c r="C45" s="432"/>
      <c r="D45" s="432"/>
      <c r="E45" s="432"/>
      <c r="F45" s="432"/>
    </row>
    <row r="46" spans="1:10" ht="33.75" customHeight="1">
      <c r="B46" s="514" t="s">
        <v>601</v>
      </c>
      <c r="C46" s="514"/>
      <c r="D46" s="514"/>
      <c r="E46" s="514"/>
      <c r="F46" s="514"/>
      <c r="G46" s="514"/>
      <c r="H46" s="514"/>
    </row>
    <row r="47" spans="1:10">
      <c r="B47" s="433"/>
      <c r="D47"/>
      <c r="E47"/>
      <c r="F47"/>
    </row>
    <row r="48" spans="1:10">
      <c r="B48" s="522" t="s">
        <v>602</v>
      </c>
      <c r="C48" s="522"/>
      <c r="D48" s="522"/>
      <c r="E48" s="522"/>
      <c r="F48" s="522"/>
      <c r="G48" s="522"/>
      <c r="H48" s="522"/>
    </row>
    <row r="50" spans="2:8" ht="27" customHeight="1">
      <c r="B50" s="568" t="s">
        <v>605</v>
      </c>
      <c r="C50" s="568"/>
      <c r="D50" s="568"/>
      <c r="E50" s="568"/>
      <c r="F50" s="568"/>
      <c r="G50" s="568"/>
      <c r="H50" s="568"/>
    </row>
  </sheetData>
  <mergeCells count="43">
    <mergeCell ref="B50:H50"/>
    <mergeCell ref="B4:C5"/>
    <mergeCell ref="B28:C28"/>
    <mergeCell ref="B12:C12"/>
    <mergeCell ref="B13:C13"/>
    <mergeCell ref="B15:C15"/>
    <mergeCell ref="B32:C32"/>
    <mergeCell ref="B23:C23"/>
    <mergeCell ref="B24:C24"/>
    <mergeCell ref="B26:C26"/>
    <mergeCell ref="B27:C27"/>
    <mergeCell ref="B48:H48"/>
    <mergeCell ref="B46:H46"/>
    <mergeCell ref="B9:C9"/>
    <mergeCell ref="A10:H10"/>
    <mergeCell ref="A4:A6"/>
    <mergeCell ref="A7:H7"/>
    <mergeCell ref="A14:H14"/>
    <mergeCell ref="A21:H21"/>
    <mergeCell ref="B17:C17"/>
    <mergeCell ref="B18:C18"/>
    <mergeCell ref="B20:C20"/>
    <mergeCell ref="A37:H37"/>
    <mergeCell ref="A19:H19"/>
    <mergeCell ref="E4:E5"/>
    <mergeCell ref="B6:C6"/>
    <mergeCell ref="B8:C8"/>
    <mergeCell ref="B2:H2"/>
    <mergeCell ref="B40:E40"/>
    <mergeCell ref="B44:H44"/>
    <mergeCell ref="B38:C38"/>
    <mergeCell ref="B33:C33"/>
    <mergeCell ref="B34:C34"/>
    <mergeCell ref="B35:C35"/>
    <mergeCell ref="B36:C36"/>
    <mergeCell ref="A41:D41"/>
    <mergeCell ref="B29:C29"/>
    <mergeCell ref="B30:C30"/>
    <mergeCell ref="B31:C31"/>
    <mergeCell ref="B16:C16"/>
    <mergeCell ref="B22:C22"/>
    <mergeCell ref="B25:C25"/>
    <mergeCell ref="B11:C11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zoomScale="85" zoomScaleNormal="85" workbookViewId="0"/>
  </sheetViews>
  <sheetFormatPr defaultColWidth="9.140625" defaultRowHeight="12" outlineLevelRow="1" outlineLevelCol="1"/>
  <cols>
    <col min="1" max="1" width="3" style="18" customWidth="1"/>
    <col min="2" max="2" width="3.28515625" style="18" customWidth="1"/>
    <col min="3" max="3" width="24.5703125" style="18" bestFit="1" customWidth="1"/>
    <col min="4" max="4" width="50.85546875" style="18" customWidth="1" outlineLevel="1"/>
    <col min="5" max="5" width="2.140625" style="18" customWidth="1"/>
    <col min="6" max="6" width="49" style="18" hidden="1" customWidth="1" outlineLevel="1"/>
    <col min="7" max="7" width="2.140625" style="18" customWidth="1" collapsed="1"/>
    <col min="8" max="8" width="14.5703125" style="18" hidden="1" customWidth="1" outlineLevel="1"/>
    <col min="9" max="9" width="2.140625" style="18" customWidth="1" collapsed="1"/>
    <col min="10" max="10" width="22.42578125" style="18" bestFit="1" customWidth="1" outlineLevel="1"/>
    <col min="11" max="11" width="2" style="18" customWidth="1"/>
    <col min="12" max="12" width="3.28515625" style="18" customWidth="1"/>
    <col min="13" max="13" width="11.28515625" style="7" bestFit="1" customWidth="1"/>
    <col min="14" max="14" width="10" style="45" customWidth="1"/>
    <col min="15" max="15" width="10.7109375" style="7" customWidth="1"/>
    <col min="16" max="16" width="3.28515625" style="18" customWidth="1"/>
    <col min="17" max="17" width="12" style="8" customWidth="1"/>
    <col min="18" max="18" width="10.85546875" style="24" customWidth="1"/>
    <col min="19" max="20" width="3.28515625" style="18" customWidth="1"/>
    <col min="21" max="16384" width="9.140625" style="18"/>
  </cols>
  <sheetData>
    <row r="1" spans="1:19" ht="12.75" thickBot="1">
      <c r="A1" s="16"/>
    </row>
    <row r="2" spans="1:19" ht="12.75" thickTop="1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46"/>
      <c r="O2" s="3"/>
      <c r="P2" s="2"/>
      <c r="Q2" s="4"/>
      <c r="R2" s="31"/>
      <c r="S2" s="5"/>
    </row>
    <row r="3" spans="1:19">
      <c r="B3" s="68"/>
      <c r="M3" s="18"/>
      <c r="O3" s="18"/>
      <c r="Q3" s="18"/>
      <c r="R3" s="18"/>
      <c r="S3" s="69"/>
    </row>
    <row r="4" spans="1:19">
      <c r="B4" s="68"/>
      <c r="M4" s="18"/>
      <c r="O4" s="18"/>
      <c r="Q4" s="18"/>
      <c r="R4" s="18"/>
      <c r="S4" s="69"/>
    </row>
    <row r="5" spans="1:19" ht="12.75" thickBot="1">
      <c r="B5" s="68"/>
      <c r="S5" s="69"/>
    </row>
    <row r="6" spans="1:19" ht="12.75" thickTop="1"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46"/>
      <c r="O6" s="3"/>
      <c r="P6" s="2"/>
      <c r="Q6" s="4"/>
      <c r="R6" s="31"/>
      <c r="S6" s="5"/>
    </row>
    <row r="7" spans="1:19">
      <c r="B7" s="68"/>
      <c r="C7" s="28"/>
      <c r="D7" s="70" t="s">
        <v>2</v>
      </c>
      <c r="E7" s="70"/>
      <c r="F7" s="70" t="s">
        <v>67</v>
      </c>
      <c r="G7" s="58"/>
      <c r="H7" s="58"/>
      <c r="I7" s="58"/>
      <c r="J7" s="58"/>
      <c r="K7" s="43"/>
      <c r="M7" s="540" t="s">
        <v>6</v>
      </c>
      <c r="N7" s="541"/>
      <c r="O7" s="542" t="s">
        <v>1</v>
      </c>
      <c r="Q7" s="540" t="e">
        <f>#REF!</f>
        <v>#REF!</v>
      </c>
      <c r="R7" s="542"/>
      <c r="S7" s="69"/>
    </row>
    <row r="8" spans="1:19" s="9" customFormat="1">
      <c r="B8" s="32"/>
      <c r="C8" s="30" t="s">
        <v>4</v>
      </c>
      <c r="D8" s="70" t="s">
        <v>3</v>
      </c>
      <c r="E8" s="70"/>
      <c r="F8" s="70" t="s">
        <v>68</v>
      </c>
      <c r="G8" s="70"/>
      <c r="H8" s="70" t="s">
        <v>30</v>
      </c>
      <c r="I8" s="70"/>
      <c r="J8" s="70" t="s">
        <v>5</v>
      </c>
      <c r="K8" s="33"/>
      <c r="M8" s="34" t="s">
        <v>7</v>
      </c>
      <c r="N8" s="47" t="s">
        <v>8</v>
      </c>
      <c r="O8" s="29" t="s">
        <v>9</v>
      </c>
      <c r="Q8" s="35" t="s">
        <v>100</v>
      </c>
      <c r="R8" s="44" t="s">
        <v>11</v>
      </c>
      <c r="S8" s="36"/>
    </row>
    <row r="9" spans="1:19">
      <c r="B9" s="68"/>
      <c r="S9" s="69"/>
    </row>
    <row r="10" spans="1:19">
      <c r="B10" s="68"/>
      <c r="C10" s="97"/>
      <c r="D10" s="98" t="e">
        <f>#REF!</f>
        <v>#REF!</v>
      </c>
      <c r="E10" s="99"/>
      <c r="F10" s="98" t="e">
        <f>#REF!</f>
        <v>#REF!</v>
      </c>
      <c r="G10" s="99"/>
      <c r="H10" s="99"/>
      <c r="I10" s="99"/>
      <c r="J10" s="99"/>
      <c r="K10" s="100"/>
      <c r="M10" s="543"/>
      <c r="N10" s="544"/>
      <c r="O10" s="545"/>
      <c r="Q10" s="101"/>
      <c r="R10" s="102">
        <f>R11+R17</f>
        <v>0</v>
      </c>
      <c r="S10" s="69"/>
    </row>
    <row r="11" spans="1:19">
      <c r="B11" s="68"/>
      <c r="C11" s="105"/>
      <c r="D11" s="106" t="e">
        <f>#REF!</f>
        <v>#REF!</v>
      </c>
      <c r="E11" s="106"/>
      <c r="F11" s="106" t="e">
        <f>#REF!</f>
        <v>#REF!</v>
      </c>
      <c r="G11" s="106"/>
      <c r="H11" s="106"/>
      <c r="I11" s="106"/>
      <c r="J11" s="106"/>
      <c r="K11" s="107"/>
      <c r="M11" s="546"/>
      <c r="N11" s="547"/>
      <c r="O11" s="548"/>
      <c r="Q11" s="103"/>
      <c r="R11" s="104">
        <f>SUM(R12:R16)</f>
        <v>0</v>
      </c>
      <c r="S11" s="69"/>
    </row>
    <row r="12" spans="1:19" outlineLevel="1">
      <c r="B12" s="68"/>
      <c r="C12" s="71" t="s">
        <v>87</v>
      </c>
      <c r="D12" s="72" t="s">
        <v>92</v>
      </c>
      <c r="E12" s="72"/>
      <c r="F12" s="72" t="s">
        <v>93</v>
      </c>
      <c r="G12" s="72"/>
      <c r="H12" s="72" t="s">
        <v>89</v>
      </c>
      <c r="I12" s="72"/>
      <c r="J12" s="72" t="s">
        <v>90</v>
      </c>
      <c r="K12" s="73"/>
      <c r="M12" s="111">
        <f>(0.55+J24)/365</f>
        <v>1.5523287671232876E-3</v>
      </c>
      <c r="N12" s="48"/>
      <c r="O12" s="112">
        <f>M12</f>
        <v>1.5523287671232876E-3</v>
      </c>
      <c r="Q12" s="82"/>
      <c r="R12" s="37">
        <f>Q12*O12</f>
        <v>0</v>
      </c>
      <c r="S12" s="69"/>
    </row>
    <row r="13" spans="1:19" outlineLevel="1">
      <c r="B13" s="68"/>
      <c r="C13" s="22"/>
      <c r="K13" s="23"/>
      <c r="M13" s="78"/>
      <c r="N13" s="49"/>
      <c r="O13" s="38"/>
      <c r="Q13" s="39"/>
      <c r="R13" s="40"/>
      <c r="S13" s="69"/>
    </row>
    <row r="14" spans="1:19" outlineLevel="1">
      <c r="B14" s="68"/>
      <c r="C14" s="22"/>
      <c r="K14" s="23"/>
      <c r="M14" s="368"/>
      <c r="N14" s="49"/>
      <c r="O14" s="38"/>
      <c r="Q14" s="85"/>
      <c r="R14" s="40"/>
      <c r="S14" s="69"/>
    </row>
    <row r="15" spans="1:19" outlineLevel="1">
      <c r="B15" s="68"/>
      <c r="C15" s="22"/>
      <c r="K15" s="23"/>
      <c r="M15" s="78"/>
      <c r="N15" s="49"/>
      <c r="O15" s="38"/>
      <c r="Q15" s="39"/>
      <c r="R15" s="40"/>
      <c r="S15" s="69"/>
    </row>
    <row r="16" spans="1:19" outlineLevel="1">
      <c r="B16" s="68"/>
      <c r="C16" s="22"/>
      <c r="K16" s="23"/>
      <c r="M16" s="78"/>
      <c r="N16" s="49"/>
      <c r="O16" s="38"/>
      <c r="Q16" s="39"/>
      <c r="R16" s="40"/>
      <c r="S16" s="69"/>
    </row>
    <row r="17" spans="2:19">
      <c r="B17" s="68"/>
      <c r="C17" s="108"/>
      <c r="D17" s="96" t="e">
        <f>#REF!&amp;" ORAZ "&amp;#REF!</f>
        <v>#REF!</v>
      </c>
      <c r="E17" s="96"/>
      <c r="F17" s="96" t="e">
        <f>#REF!&amp;" &amp; "&amp;#REF!</f>
        <v>#REF!</v>
      </c>
      <c r="G17" s="96"/>
      <c r="H17" s="96"/>
      <c r="I17" s="96"/>
      <c r="J17" s="96"/>
      <c r="K17" s="109"/>
      <c r="M17" s="549"/>
      <c r="N17" s="550"/>
      <c r="O17" s="551"/>
      <c r="Q17" s="103"/>
      <c r="R17" s="104">
        <f>SUM(R18:R21)</f>
        <v>0</v>
      </c>
      <c r="S17" s="69"/>
    </row>
    <row r="18" spans="2:19" outlineLevel="1">
      <c r="B18" s="68"/>
      <c r="C18" s="71" t="s">
        <v>88</v>
      </c>
      <c r="D18" s="72" t="s">
        <v>96</v>
      </c>
      <c r="E18" s="72"/>
      <c r="F18" s="72" t="s">
        <v>98</v>
      </c>
      <c r="G18" s="72"/>
      <c r="H18" s="72" t="s">
        <v>91</v>
      </c>
      <c r="I18" s="72"/>
      <c r="J18" s="72"/>
      <c r="K18" s="73"/>
      <c r="M18" s="111">
        <f>M12</f>
        <v>1.5523287671232876E-3</v>
      </c>
      <c r="N18" s="48"/>
      <c r="O18" s="112">
        <f>M18</f>
        <v>1.5523287671232876E-3</v>
      </c>
      <c r="Q18" s="110"/>
      <c r="R18" s="37">
        <f>Q18*O18</f>
        <v>0</v>
      </c>
      <c r="S18" s="69"/>
    </row>
    <row r="19" spans="2:19" outlineLevel="1">
      <c r="B19" s="68"/>
      <c r="C19" s="22" t="s">
        <v>94</v>
      </c>
      <c r="D19" s="18" t="s">
        <v>97</v>
      </c>
      <c r="F19" s="18" t="s">
        <v>99</v>
      </c>
      <c r="H19" s="18" t="s">
        <v>95</v>
      </c>
      <c r="K19" s="23"/>
      <c r="M19" s="113">
        <v>2.5000000000000001E-3</v>
      </c>
      <c r="N19" s="49"/>
      <c r="O19" s="114">
        <f>M19</f>
        <v>2.5000000000000001E-3</v>
      </c>
      <c r="Q19" s="115"/>
      <c r="R19" s="40">
        <f>Q19*O19</f>
        <v>0</v>
      </c>
      <c r="S19" s="69"/>
    </row>
    <row r="20" spans="2:19" outlineLevel="1">
      <c r="B20" s="68"/>
      <c r="C20" s="22"/>
      <c r="K20" s="23"/>
      <c r="M20" s="78"/>
      <c r="N20" s="49"/>
      <c r="O20" s="38"/>
      <c r="Q20" s="39"/>
      <c r="R20" s="40"/>
      <c r="S20" s="69"/>
    </row>
    <row r="21" spans="2:19" outlineLevel="1">
      <c r="B21" s="68"/>
      <c r="C21" s="22"/>
      <c r="K21" s="23"/>
      <c r="M21" s="78"/>
      <c r="N21" s="49"/>
      <c r="O21" s="38"/>
      <c r="Q21" s="39"/>
      <c r="R21" s="40"/>
      <c r="S21" s="69"/>
    </row>
    <row r="22" spans="2:19">
      <c r="B22" s="68"/>
      <c r="C22" s="74"/>
      <c r="D22" s="75"/>
      <c r="E22" s="75"/>
      <c r="F22" s="75"/>
      <c r="G22" s="75"/>
      <c r="H22" s="75"/>
      <c r="I22" s="75"/>
      <c r="J22" s="75"/>
      <c r="K22" s="76"/>
      <c r="M22" s="79"/>
      <c r="N22" s="50"/>
      <c r="O22" s="81"/>
      <c r="Q22" s="83"/>
      <c r="R22" s="41"/>
      <c r="S22" s="69"/>
    </row>
    <row r="23" spans="2:19">
      <c r="B23" s="68"/>
      <c r="D23" s="18" t="s">
        <v>105</v>
      </c>
      <c r="F23" s="18" t="s">
        <v>104</v>
      </c>
      <c r="S23" s="69"/>
    </row>
    <row r="24" spans="2:19">
      <c r="B24" s="68"/>
      <c r="D24" s="18" t="s">
        <v>222</v>
      </c>
      <c r="F24" s="18" t="s">
        <v>102</v>
      </c>
      <c r="J24" s="380">
        <v>1.66E-2</v>
      </c>
      <c r="S24" s="69"/>
    </row>
    <row r="25" spans="2:19">
      <c r="B25" s="68"/>
      <c r="D25" s="18" t="s">
        <v>101</v>
      </c>
      <c r="F25" s="18" t="s">
        <v>103</v>
      </c>
      <c r="S25" s="69"/>
    </row>
    <row r="26" spans="2:19" ht="12.75" thickBot="1">
      <c r="B26" s="68"/>
      <c r="S26" s="69"/>
    </row>
    <row r="27" spans="2:19" ht="12.75" thickTop="1"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3"/>
      <c r="N27" s="46"/>
      <c r="O27" s="3"/>
      <c r="P27" s="2"/>
      <c r="Q27" s="4"/>
      <c r="R27" s="31"/>
      <c r="S27" s="5"/>
    </row>
    <row r="28" spans="2:19">
      <c r="B28" s="68"/>
      <c r="C28" s="84" t="e">
        <f>#REF!</f>
        <v>#REF!</v>
      </c>
      <c r="M28" s="28" t="e">
        <f>#REF!</f>
        <v>#REF!</v>
      </c>
      <c r="N28" s="54"/>
      <c r="O28" s="38"/>
      <c r="P28" s="52" t="e">
        <f>#REF!</f>
        <v>#REF!</v>
      </c>
      <c r="Q28" s="55"/>
      <c r="R28" s="53"/>
      <c r="S28" s="69"/>
    </row>
    <row r="29" spans="2:19" ht="12.75" thickBot="1"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  <c r="N29" s="51"/>
      <c r="O29" s="13"/>
      <c r="P29" s="12"/>
      <c r="Q29" s="14"/>
      <c r="R29" s="42"/>
      <c r="S29" s="15"/>
    </row>
    <row r="30" spans="2:19" ht="12.75" thickTop="1"/>
  </sheetData>
  <mergeCells count="5">
    <mergeCell ref="M7:O7"/>
    <mergeCell ref="Q7:R7"/>
    <mergeCell ref="M10:O10"/>
    <mergeCell ref="M11:O11"/>
    <mergeCell ref="M17:O1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6"/>
  <sheetViews>
    <sheetView showGridLines="0" zoomScale="90" zoomScaleNormal="90" workbookViewId="0">
      <pane ySplit="8" topLeftCell="A97" activePane="bottomLeft" state="frozen"/>
      <selection activeCell="F10" sqref="F10"/>
      <selection pane="bottomLeft" activeCell="D100" sqref="D100"/>
    </sheetView>
  </sheetViews>
  <sheetFormatPr defaultColWidth="9.140625" defaultRowHeight="12" outlineLevelRow="1" outlineLevelCol="1"/>
  <cols>
    <col min="1" max="1" width="3" style="18" customWidth="1"/>
    <col min="2" max="2" width="3.28515625" style="18" customWidth="1"/>
    <col min="3" max="3" width="30" style="18" customWidth="1"/>
    <col min="4" max="4" width="50.5703125" style="18" customWidth="1" outlineLevel="1"/>
    <col min="5" max="5" width="2.140625" style="18" customWidth="1"/>
    <col min="6" max="6" width="49" style="18" hidden="1" customWidth="1" outlineLevel="1"/>
    <col min="7" max="7" width="2.140625" style="18" customWidth="1" collapsed="1"/>
    <col min="8" max="8" width="14.5703125" style="18" hidden="1" customWidth="1" outlineLevel="1"/>
    <col min="9" max="9" width="2.140625" style="18" customWidth="1" collapsed="1"/>
    <col min="10" max="10" width="14.5703125" style="18" customWidth="1" outlineLevel="1"/>
    <col min="11" max="11" width="9.28515625" style="18" customWidth="1"/>
    <col min="12" max="12" width="3.28515625" style="18" customWidth="1"/>
    <col min="13" max="13" width="11.28515625" style="7" bestFit="1" customWidth="1"/>
    <col min="14" max="14" width="10" style="45" customWidth="1"/>
    <col min="15" max="15" width="10.7109375" style="7" customWidth="1"/>
    <col min="16" max="16" width="3.28515625" style="18" customWidth="1"/>
    <col min="17" max="17" width="9.85546875" style="8" customWidth="1"/>
    <col min="18" max="18" width="10.85546875" style="24" customWidth="1"/>
    <col min="19" max="20" width="3.28515625" style="18" customWidth="1"/>
    <col min="21" max="21" width="12.7109375" style="18" bestFit="1" customWidth="1"/>
    <col min="22" max="16384" width="9.140625" style="18"/>
  </cols>
  <sheetData>
    <row r="1" spans="1:19" ht="12.75" thickBot="1">
      <c r="A1" s="16"/>
    </row>
    <row r="2" spans="1:19" ht="12.75" thickTop="1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46"/>
      <c r="O2" s="3"/>
      <c r="P2" s="2"/>
      <c r="Q2" s="4"/>
      <c r="R2" s="31"/>
      <c r="S2" s="5"/>
    </row>
    <row r="3" spans="1:19">
      <c r="B3" s="68"/>
      <c r="M3" s="18"/>
      <c r="O3" s="18"/>
      <c r="Q3" s="18"/>
      <c r="R3" s="18"/>
      <c r="S3" s="69"/>
    </row>
    <row r="4" spans="1:19">
      <c r="B4" s="68"/>
      <c r="M4" s="18"/>
      <c r="O4" s="18"/>
      <c r="Q4" s="18"/>
      <c r="S4" s="69"/>
    </row>
    <row r="5" spans="1:19" ht="12.75" thickBot="1">
      <c r="B5" s="68"/>
      <c r="S5" s="69"/>
    </row>
    <row r="6" spans="1:19" ht="12.75" thickTop="1"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46"/>
      <c r="O6" s="3"/>
      <c r="P6" s="2"/>
      <c r="Q6" s="4"/>
      <c r="R6" s="31"/>
      <c r="S6" s="5"/>
    </row>
    <row r="7" spans="1:19">
      <c r="B7" s="68"/>
      <c r="C7" s="28"/>
      <c r="D7" s="70" t="s">
        <v>2</v>
      </c>
      <c r="E7" s="70"/>
      <c r="F7" s="70" t="s">
        <v>67</v>
      </c>
      <c r="G7" s="58"/>
      <c r="H7" s="58"/>
      <c r="I7" s="58"/>
      <c r="J7" s="58"/>
      <c r="K7" s="43"/>
      <c r="M7" s="540" t="s">
        <v>6</v>
      </c>
      <c r="N7" s="541"/>
      <c r="O7" s="542" t="s">
        <v>1</v>
      </c>
      <c r="Q7" s="540" t="e">
        <f>#REF!</f>
        <v>#REF!</v>
      </c>
      <c r="R7" s="542"/>
      <c r="S7" s="69"/>
    </row>
    <row r="8" spans="1:19" s="9" customFormat="1">
      <c r="B8" s="32"/>
      <c r="C8" s="30" t="s">
        <v>4</v>
      </c>
      <c r="D8" s="70" t="s">
        <v>3</v>
      </c>
      <c r="E8" s="70"/>
      <c r="F8" s="70" t="s">
        <v>68</v>
      </c>
      <c r="G8" s="70"/>
      <c r="H8" s="70" t="s">
        <v>30</v>
      </c>
      <c r="I8" s="70"/>
      <c r="J8" s="70" t="s">
        <v>5</v>
      </c>
      <c r="K8" s="33"/>
      <c r="M8" s="34" t="s">
        <v>7</v>
      </c>
      <c r="N8" s="47" t="s">
        <v>8</v>
      </c>
      <c r="O8" s="29" t="s">
        <v>9</v>
      </c>
      <c r="Q8" s="35" t="s">
        <v>10</v>
      </c>
      <c r="R8" s="44" t="s">
        <v>11</v>
      </c>
      <c r="S8" s="36"/>
    </row>
    <row r="9" spans="1:19" s="9" customFormat="1">
      <c r="B9" s="32"/>
      <c r="M9" s="61"/>
      <c r="N9" s="151"/>
      <c r="O9" s="61"/>
      <c r="Q9" s="62"/>
      <c r="R9" s="26"/>
      <c r="S9" s="36"/>
    </row>
    <row r="10" spans="1:19">
      <c r="B10" s="68"/>
      <c r="C10" s="146"/>
      <c r="D10" s="269" t="s">
        <v>425</v>
      </c>
      <c r="E10" s="147"/>
      <c r="F10" s="269" t="s">
        <v>237</v>
      </c>
      <c r="G10" s="147"/>
      <c r="H10" s="147"/>
      <c r="I10" s="147"/>
      <c r="J10" s="147"/>
      <c r="K10" s="148"/>
      <c r="M10" s="555"/>
      <c r="N10" s="556"/>
      <c r="O10" s="557"/>
      <c r="Q10" s="149"/>
      <c r="R10" s="150">
        <f>R11+R31+R62</f>
        <v>0</v>
      </c>
      <c r="S10" s="69"/>
    </row>
    <row r="11" spans="1:19">
      <c r="B11" s="68"/>
      <c r="C11" s="305"/>
      <c r="D11" s="303" t="s">
        <v>238</v>
      </c>
      <c r="E11" s="303"/>
      <c r="F11" s="303" t="s">
        <v>238</v>
      </c>
      <c r="G11" s="303"/>
      <c r="H11" s="303"/>
      <c r="I11" s="303"/>
      <c r="J11" s="303"/>
      <c r="K11" s="306"/>
      <c r="M11" s="558"/>
      <c r="N11" s="559"/>
      <c r="O11" s="560"/>
      <c r="Q11" s="307"/>
      <c r="R11" s="308">
        <f>SUM(R12:R30)</f>
        <v>0</v>
      </c>
      <c r="S11" s="69"/>
    </row>
    <row r="12" spans="1:19" hidden="1" outlineLevel="1">
      <c r="B12" s="68"/>
      <c r="C12" s="71"/>
      <c r="D12" s="72"/>
      <c r="E12" s="72"/>
      <c r="F12" s="72"/>
      <c r="G12" s="72"/>
      <c r="I12" s="72"/>
      <c r="J12" s="72"/>
      <c r="K12" s="73"/>
      <c r="M12" s="77"/>
      <c r="N12" s="48"/>
      <c r="O12" s="80"/>
      <c r="Q12" s="82"/>
      <c r="R12" s="37"/>
      <c r="S12" s="69"/>
    </row>
    <row r="13" spans="1:19" hidden="1" outlineLevel="1">
      <c r="B13" s="68"/>
      <c r="C13" s="22"/>
      <c r="D13" s="18" t="s">
        <v>146</v>
      </c>
      <c r="F13" s="152" t="s">
        <v>286</v>
      </c>
      <c r="K13" s="23"/>
      <c r="M13" s="78"/>
      <c r="N13" s="49"/>
      <c r="O13" s="38"/>
      <c r="Q13" s="39"/>
      <c r="R13" s="40"/>
      <c r="S13" s="69"/>
    </row>
    <row r="14" spans="1:19" hidden="1" outlineLevel="1">
      <c r="B14" s="68"/>
      <c r="C14" s="22"/>
      <c r="D14" s="18" t="s">
        <v>147</v>
      </c>
      <c r="F14" s="18" t="s">
        <v>278</v>
      </c>
      <c r="K14" s="23"/>
      <c r="M14" s="78"/>
      <c r="N14" s="49"/>
      <c r="O14" s="38"/>
      <c r="Q14" s="39"/>
      <c r="R14" s="40"/>
      <c r="S14" s="69"/>
    </row>
    <row r="15" spans="1:19" hidden="1" outlineLevel="1">
      <c r="B15" s="68"/>
      <c r="C15" s="22" t="s">
        <v>455</v>
      </c>
      <c r="D15" s="18" t="s">
        <v>245</v>
      </c>
      <c r="F15" s="152" t="s">
        <v>279</v>
      </c>
      <c r="H15" s="18" t="s">
        <v>71</v>
      </c>
      <c r="J15" s="18" t="s">
        <v>204</v>
      </c>
      <c r="K15" s="23"/>
      <c r="M15" s="78">
        <v>32.294117647058819</v>
      </c>
      <c r="N15" s="49">
        <v>0.2</v>
      </c>
      <c r="O15" s="38">
        <f>M15*(1-N15)</f>
        <v>25.835294117647056</v>
      </c>
      <c r="Q15" s="39"/>
      <c r="R15" s="40">
        <f t="shared" ref="R15:R28" si="0">Q15*O15</f>
        <v>0</v>
      </c>
      <c r="S15" s="69"/>
    </row>
    <row r="16" spans="1:19" hidden="1" outlineLevel="1">
      <c r="B16" s="68"/>
      <c r="C16" s="22" t="s">
        <v>456</v>
      </c>
      <c r="D16" s="18" t="s">
        <v>203</v>
      </c>
      <c r="F16" s="18" t="s">
        <v>280</v>
      </c>
      <c r="H16" s="18" t="s">
        <v>71</v>
      </c>
      <c r="J16" s="18" t="s">
        <v>204</v>
      </c>
      <c r="K16" s="23"/>
      <c r="M16" s="78">
        <v>118.627</v>
      </c>
      <c r="N16" s="49">
        <v>0.2</v>
      </c>
      <c r="O16" s="38">
        <f t="shared" ref="O16:O25" si="1">M16*(1-N16)</f>
        <v>94.901600000000002</v>
      </c>
      <c r="Q16" s="39"/>
      <c r="R16" s="40">
        <f t="shared" si="0"/>
        <v>0</v>
      </c>
      <c r="S16" s="69"/>
    </row>
    <row r="17" spans="2:19" hidden="1" outlineLevel="1">
      <c r="B17" s="68"/>
      <c r="C17" s="22" t="s">
        <v>457</v>
      </c>
      <c r="D17" s="18" t="s">
        <v>206</v>
      </c>
      <c r="F17" s="18" t="s">
        <v>281</v>
      </c>
      <c r="H17" s="18" t="s">
        <v>205</v>
      </c>
      <c r="J17" s="18" t="s">
        <v>80</v>
      </c>
      <c r="K17" s="23"/>
      <c r="M17" s="78">
        <v>2.3730000000000002</v>
      </c>
      <c r="N17" s="49">
        <v>0.2</v>
      </c>
      <c r="O17" s="38">
        <f t="shared" si="1"/>
        <v>1.8984000000000003</v>
      </c>
      <c r="Q17" s="39"/>
      <c r="R17" s="40">
        <f t="shared" si="0"/>
        <v>0</v>
      </c>
      <c r="S17" s="69"/>
    </row>
    <row r="18" spans="2:19" hidden="1" outlineLevel="1">
      <c r="B18" s="68"/>
      <c r="C18" s="22"/>
      <c r="K18" s="23"/>
      <c r="M18" s="78"/>
      <c r="N18" s="49"/>
      <c r="O18" s="38"/>
      <c r="Q18" s="39"/>
      <c r="R18" s="40"/>
      <c r="S18" s="69"/>
    </row>
    <row r="19" spans="2:19" hidden="1" outlineLevel="1">
      <c r="B19" s="68"/>
      <c r="C19" s="22"/>
      <c r="D19" s="153" t="s">
        <v>149</v>
      </c>
      <c r="K19" s="23"/>
      <c r="M19" s="78"/>
      <c r="N19" s="49"/>
      <c r="O19" s="38"/>
      <c r="Q19" s="39"/>
      <c r="R19" s="40"/>
      <c r="S19" s="69"/>
    </row>
    <row r="20" spans="2:19" hidden="1" outlineLevel="1">
      <c r="B20" s="68"/>
      <c r="C20" s="22"/>
      <c r="D20" s="18" t="s">
        <v>207</v>
      </c>
      <c r="F20" s="18" t="s">
        <v>282</v>
      </c>
      <c r="K20" s="23"/>
      <c r="M20" s="78"/>
      <c r="N20" s="49"/>
      <c r="O20" s="38"/>
      <c r="Q20" s="39"/>
      <c r="R20" s="40"/>
      <c r="S20" s="69"/>
    </row>
    <row r="21" spans="2:19" hidden="1" outlineLevel="1">
      <c r="B21" s="68"/>
      <c r="C21" s="22" t="s">
        <v>458</v>
      </c>
      <c r="D21" s="18" t="s">
        <v>148</v>
      </c>
      <c r="F21" s="152" t="s">
        <v>284</v>
      </c>
      <c r="H21" s="18" t="s">
        <v>71</v>
      </c>
      <c r="J21" s="18" t="s">
        <v>204</v>
      </c>
      <c r="K21" s="23"/>
      <c r="M21" s="78">
        <v>54.470999999999997</v>
      </c>
      <c r="N21" s="49">
        <v>0.2</v>
      </c>
      <c r="O21" s="38">
        <f t="shared" si="1"/>
        <v>43.576799999999999</v>
      </c>
      <c r="Q21" s="39"/>
      <c r="R21" s="40">
        <f t="shared" si="0"/>
        <v>0</v>
      </c>
      <c r="S21" s="69"/>
    </row>
    <row r="22" spans="2:19" hidden="1" outlineLevel="1">
      <c r="B22" s="68"/>
      <c r="C22" s="22" t="s">
        <v>459</v>
      </c>
      <c r="D22" s="18" t="s">
        <v>203</v>
      </c>
      <c r="F22" s="18" t="s">
        <v>280</v>
      </c>
      <c r="H22" s="18" t="s">
        <v>71</v>
      </c>
      <c r="J22" s="18" t="s">
        <v>204</v>
      </c>
      <c r="K22" s="23"/>
      <c r="M22" s="78">
        <v>194.53800000000001</v>
      </c>
      <c r="N22" s="49">
        <v>0.2</v>
      </c>
      <c r="O22" s="38">
        <f t="shared" si="1"/>
        <v>155.63040000000001</v>
      </c>
      <c r="Q22" s="85"/>
      <c r="R22" s="40">
        <f t="shared" si="0"/>
        <v>0</v>
      </c>
      <c r="S22" s="69"/>
    </row>
    <row r="23" spans="2:19" hidden="1" outlineLevel="1">
      <c r="B23" s="68"/>
      <c r="C23" s="22"/>
      <c r="K23" s="23"/>
      <c r="M23" s="78"/>
      <c r="N23" s="49"/>
      <c r="O23" s="38"/>
      <c r="Q23" s="39"/>
      <c r="R23" s="40"/>
      <c r="S23" s="69"/>
    </row>
    <row r="24" spans="2:19" hidden="1" outlineLevel="1">
      <c r="B24" s="68"/>
      <c r="C24" s="22"/>
      <c r="D24" s="18" t="s">
        <v>208</v>
      </c>
      <c r="F24" s="18" t="s">
        <v>283</v>
      </c>
      <c r="K24" s="23"/>
      <c r="M24" s="78"/>
      <c r="N24" s="49"/>
      <c r="O24" s="38"/>
      <c r="Q24" s="39"/>
      <c r="R24" s="40"/>
      <c r="S24" s="69"/>
    </row>
    <row r="25" spans="2:19" hidden="1" outlineLevel="1">
      <c r="B25" s="68"/>
      <c r="C25" s="22" t="s">
        <v>460</v>
      </c>
      <c r="D25" s="18" t="s">
        <v>148</v>
      </c>
      <c r="F25" s="152" t="s">
        <v>284</v>
      </c>
      <c r="H25" s="18" t="s">
        <v>71</v>
      </c>
      <c r="J25" s="18" t="s">
        <v>204</v>
      </c>
      <c r="K25" s="23"/>
      <c r="M25" s="78">
        <v>215.68600000000001</v>
      </c>
      <c r="N25" s="49">
        <v>0.2</v>
      </c>
      <c r="O25" s="38">
        <f t="shared" si="1"/>
        <v>172.54880000000003</v>
      </c>
      <c r="Q25" s="39"/>
      <c r="R25" s="40">
        <f t="shared" si="0"/>
        <v>0</v>
      </c>
      <c r="S25" s="69"/>
    </row>
    <row r="26" spans="2:19" hidden="1" outlineLevel="1">
      <c r="B26" s="68"/>
      <c r="C26" s="22"/>
      <c r="K26" s="23"/>
      <c r="M26" s="78"/>
      <c r="N26" s="49"/>
      <c r="O26" s="38"/>
      <c r="Q26" s="39"/>
      <c r="R26" s="40"/>
      <c r="S26" s="69"/>
    </row>
    <row r="27" spans="2:19" hidden="1" outlineLevel="1">
      <c r="B27" s="68"/>
      <c r="C27" s="22" t="s">
        <v>461</v>
      </c>
      <c r="D27" s="18" t="s">
        <v>248</v>
      </c>
      <c r="F27" s="18" t="s">
        <v>285</v>
      </c>
      <c r="H27" s="298" t="s">
        <v>129</v>
      </c>
      <c r="I27" s="298"/>
      <c r="J27" s="298" t="s">
        <v>128</v>
      </c>
      <c r="K27" s="23"/>
      <c r="M27" s="299">
        <v>547.84899999999993</v>
      </c>
      <c r="N27" s="300">
        <v>0.3</v>
      </c>
      <c r="O27" s="301">
        <f t="shared" ref="O27" si="2">M27*(1-N27)</f>
        <v>383.49429999999995</v>
      </c>
      <c r="Q27" s="39"/>
      <c r="R27" s="40">
        <f t="shared" si="0"/>
        <v>0</v>
      </c>
      <c r="S27" s="69"/>
    </row>
    <row r="28" spans="2:19" hidden="1" outlineLevel="1">
      <c r="B28" s="68"/>
      <c r="C28" s="22" t="s">
        <v>462</v>
      </c>
      <c r="D28" s="18" t="s">
        <v>400</v>
      </c>
      <c r="F28" s="18" t="s">
        <v>401</v>
      </c>
      <c r="H28" s="298" t="s">
        <v>224</v>
      </c>
      <c r="I28" s="298"/>
      <c r="J28" s="298" t="s">
        <v>402</v>
      </c>
      <c r="K28" s="23"/>
      <c r="M28" s="299">
        <v>114.42750000000001</v>
      </c>
      <c r="N28" s="300">
        <v>0.5</v>
      </c>
      <c r="O28" s="301">
        <v>57.213750000000005</v>
      </c>
      <c r="Q28" s="39"/>
      <c r="R28" s="40">
        <f t="shared" si="0"/>
        <v>0</v>
      </c>
      <c r="S28" s="69"/>
    </row>
    <row r="29" spans="2:19" hidden="1" outlineLevel="1">
      <c r="B29" s="68"/>
      <c r="C29" s="22"/>
      <c r="K29" s="23"/>
      <c r="M29" s="78"/>
      <c r="N29" s="49"/>
      <c r="O29" s="38"/>
      <c r="Q29" s="39"/>
      <c r="R29" s="40"/>
      <c r="S29" s="69"/>
    </row>
    <row r="30" spans="2:19" hidden="1" outlineLevel="1">
      <c r="B30" s="68"/>
      <c r="C30" s="22"/>
      <c r="K30" s="23"/>
      <c r="M30" s="78"/>
      <c r="N30" s="49"/>
      <c r="O30" s="38"/>
      <c r="Q30" s="39"/>
      <c r="R30" s="40"/>
      <c r="S30" s="69"/>
    </row>
    <row r="31" spans="2:19" collapsed="1">
      <c r="B31" s="68"/>
      <c r="C31" s="309"/>
      <c r="D31" s="304" t="s">
        <v>423</v>
      </c>
      <c r="E31" s="304"/>
      <c r="F31" s="304" t="s">
        <v>239</v>
      </c>
      <c r="G31" s="304"/>
      <c r="H31" s="304"/>
      <c r="I31" s="304"/>
      <c r="J31" s="304"/>
      <c r="K31" s="310"/>
      <c r="M31" s="552"/>
      <c r="N31" s="553"/>
      <c r="O31" s="554"/>
      <c r="Q31" s="307"/>
      <c r="R31" s="308">
        <f>SUM(R32:R61)</f>
        <v>0</v>
      </c>
      <c r="S31" s="69"/>
    </row>
    <row r="32" spans="2:19" hidden="1" outlineLevel="1">
      <c r="B32" s="68"/>
      <c r="C32" s="71"/>
      <c r="D32" s="72"/>
      <c r="E32" s="72"/>
      <c r="F32" s="72"/>
      <c r="G32" s="72"/>
      <c r="H32" s="72"/>
      <c r="I32" s="72"/>
      <c r="J32" s="72"/>
      <c r="K32" s="73"/>
      <c r="M32" s="77"/>
      <c r="N32" s="48"/>
      <c r="O32" s="80"/>
      <c r="Q32" s="82"/>
      <c r="R32" s="37"/>
      <c r="S32" s="69"/>
    </row>
    <row r="33" spans="2:19" hidden="1" outlineLevel="1">
      <c r="B33" s="68"/>
      <c r="C33" s="22"/>
      <c r="D33" s="18" t="s">
        <v>146</v>
      </c>
      <c r="F33" s="152" t="s">
        <v>286</v>
      </c>
      <c r="K33" s="23"/>
      <c r="M33" s="78"/>
      <c r="N33" s="49"/>
      <c r="O33" s="38"/>
      <c r="Q33" s="39"/>
      <c r="R33" s="40"/>
      <c r="S33" s="69"/>
    </row>
    <row r="34" spans="2:19" hidden="1" outlineLevel="1">
      <c r="B34" s="68"/>
      <c r="C34" s="22"/>
      <c r="D34" s="18" t="s">
        <v>147</v>
      </c>
      <c r="F34" s="18" t="s">
        <v>278</v>
      </c>
      <c r="K34" s="23"/>
      <c r="M34" s="78"/>
      <c r="N34" s="49"/>
      <c r="O34" s="38"/>
      <c r="Q34" s="39"/>
      <c r="R34" s="40"/>
      <c r="S34" s="69"/>
    </row>
    <row r="35" spans="2:19" hidden="1" outlineLevel="1">
      <c r="B35" s="68"/>
      <c r="C35" s="22" t="s">
        <v>463</v>
      </c>
      <c r="D35" s="18" t="s">
        <v>245</v>
      </c>
      <c r="F35" s="152" t="s">
        <v>279</v>
      </c>
      <c r="H35" s="18" t="s">
        <v>71</v>
      </c>
      <c r="J35" s="18" t="s">
        <v>204</v>
      </c>
      <c r="K35" s="23"/>
      <c r="M35" s="78">
        <v>32.294117647058819</v>
      </c>
      <c r="N35" s="49">
        <v>0.2</v>
      </c>
      <c r="O35" s="38">
        <f>M35*(1-N35)</f>
        <v>25.835294117647056</v>
      </c>
      <c r="Q35" s="39"/>
      <c r="R35" s="40">
        <f t="shared" ref="R35:R37" si="3">Q35*O35</f>
        <v>0</v>
      </c>
      <c r="S35" s="69"/>
    </row>
    <row r="36" spans="2:19" hidden="1" outlineLevel="1">
      <c r="B36" s="68"/>
      <c r="C36" s="22" t="s">
        <v>464</v>
      </c>
      <c r="D36" s="18" t="s">
        <v>203</v>
      </c>
      <c r="F36" s="18" t="s">
        <v>280</v>
      </c>
      <c r="H36" s="18" t="s">
        <v>71</v>
      </c>
      <c r="J36" s="18" t="s">
        <v>204</v>
      </c>
      <c r="K36" s="23"/>
      <c r="M36" s="78">
        <v>118.627</v>
      </c>
      <c r="N36" s="49">
        <v>0.2</v>
      </c>
      <c r="O36" s="38">
        <f t="shared" ref="O36:O37" si="4">M36*(1-N36)</f>
        <v>94.901600000000002</v>
      </c>
      <c r="Q36" s="39"/>
      <c r="R36" s="40">
        <f t="shared" si="3"/>
        <v>0</v>
      </c>
      <c r="S36" s="69"/>
    </row>
    <row r="37" spans="2:19" hidden="1" outlineLevel="1">
      <c r="B37" s="68"/>
      <c r="C37" s="22" t="s">
        <v>465</v>
      </c>
      <c r="D37" s="18" t="s">
        <v>206</v>
      </c>
      <c r="F37" s="18" t="s">
        <v>281</v>
      </c>
      <c r="H37" s="18" t="s">
        <v>205</v>
      </c>
      <c r="J37" s="18" t="s">
        <v>80</v>
      </c>
      <c r="K37" s="23"/>
      <c r="M37" s="78">
        <v>2.3730000000000002</v>
      </c>
      <c r="N37" s="49">
        <v>0.2</v>
      </c>
      <c r="O37" s="38">
        <f t="shared" si="4"/>
        <v>1.8984000000000003</v>
      </c>
      <c r="Q37" s="39"/>
      <c r="R37" s="40">
        <f t="shared" si="3"/>
        <v>0</v>
      </c>
      <c r="S37" s="69"/>
    </row>
    <row r="38" spans="2:19" hidden="1" outlineLevel="1">
      <c r="B38" s="68"/>
      <c r="C38" s="22"/>
      <c r="K38" s="23"/>
      <c r="M38" s="78"/>
      <c r="N38" s="49"/>
      <c r="O38" s="38"/>
      <c r="Q38" s="39"/>
      <c r="R38" s="40"/>
      <c r="S38" s="69"/>
    </row>
    <row r="39" spans="2:19" hidden="1" outlineLevel="1">
      <c r="B39" s="68"/>
      <c r="C39" s="22"/>
      <c r="D39" s="153" t="s">
        <v>149</v>
      </c>
      <c r="K39" s="23"/>
      <c r="M39" s="78"/>
      <c r="N39" s="49"/>
      <c r="O39" s="38"/>
      <c r="Q39" s="39"/>
      <c r="R39" s="40"/>
      <c r="S39" s="69"/>
    </row>
    <row r="40" spans="2:19" hidden="1" outlineLevel="1">
      <c r="B40" s="68"/>
      <c r="C40" s="22"/>
      <c r="D40" s="18" t="s">
        <v>207</v>
      </c>
      <c r="F40" s="18" t="s">
        <v>282</v>
      </c>
      <c r="K40" s="23"/>
      <c r="M40" s="78"/>
      <c r="N40" s="49"/>
      <c r="O40" s="38"/>
      <c r="Q40" s="39"/>
      <c r="R40" s="40"/>
      <c r="S40" s="69"/>
    </row>
    <row r="41" spans="2:19" hidden="1" outlineLevel="1">
      <c r="B41" s="68"/>
      <c r="C41" s="22" t="s">
        <v>466</v>
      </c>
      <c r="D41" s="18" t="s">
        <v>148</v>
      </c>
      <c r="F41" s="152" t="s">
        <v>284</v>
      </c>
      <c r="H41" s="18" t="s">
        <v>71</v>
      </c>
      <c r="J41" s="18" t="s">
        <v>204</v>
      </c>
      <c r="K41" s="23"/>
      <c r="M41" s="78">
        <v>54.470999999999997</v>
      </c>
      <c r="N41" s="49">
        <v>0.2</v>
      </c>
      <c r="O41" s="38">
        <f t="shared" ref="O41:O42" si="5">M41*(1-N41)</f>
        <v>43.576799999999999</v>
      </c>
      <c r="Q41" s="39"/>
      <c r="R41" s="40">
        <f t="shared" ref="R41:R42" si="6">Q41*O41</f>
        <v>0</v>
      </c>
      <c r="S41" s="69"/>
    </row>
    <row r="42" spans="2:19" hidden="1" outlineLevel="1">
      <c r="B42" s="68"/>
      <c r="C42" s="22" t="s">
        <v>467</v>
      </c>
      <c r="D42" s="18" t="s">
        <v>203</v>
      </c>
      <c r="F42" s="18" t="s">
        <v>280</v>
      </c>
      <c r="H42" s="18" t="s">
        <v>71</v>
      </c>
      <c r="J42" s="18" t="s">
        <v>204</v>
      </c>
      <c r="K42" s="23"/>
      <c r="M42" s="78">
        <v>194.53800000000001</v>
      </c>
      <c r="N42" s="49">
        <v>0.2</v>
      </c>
      <c r="O42" s="38">
        <f t="shared" si="5"/>
        <v>155.63040000000001</v>
      </c>
      <c r="Q42" s="39"/>
      <c r="R42" s="40">
        <f t="shared" si="6"/>
        <v>0</v>
      </c>
      <c r="S42" s="69"/>
    </row>
    <row r="43" spans="2:19" hidden="1" outlineLevel="1">
      <c r="B43" s="68"/>
      <c r="C43" s="22"/>
      <c r="K43" s="23"/>
      <c r="M43" s="78"/>
      <c r="N43" s="49"/>
      <c r="O43" s="38"/>
      <c r="Q43" s="39"/>
      <c r="R43" s="40"/>
      <c r="S43" s="69"/>
    </row>
    <row r="44" spans="2:19" hidden="1" outlineLevel="1">
      <c r="B44" s="68"/>
      <c r="C44" s="22"/>
      <c r="D44" s="18" t="s">
        <v>208</v>
      </c>
      <c r="F44" s="18" t="s">
        <v>283</v>
      </c>
      <c r="K44" s="23"/>
      <c r="M44" s="78"/>
      <c r="N44" s="49"/>
      <c r="O44" s="38"/>
      <c r="Q44" s="39"/>
      <c r="R44" s="40"/>
      <c r="S44" s="69"/>
    </row>
    <row r="45" spans="2:19" hidden="1" outlineLevel="1">
      <c r="B45" s="68"/>
      <c r="C45" s="22" t="s">
        <v>468</v>
      </c>
      <c r="D45" s="18" t="s">
        <v>148</v>
      </c>
      <c r="F45" s="152" t="s">
        <v>284</v>
      </c>
      <c r="H45" s="18" t="s">
        <v>71</v>
      </c>
      <c r="J45" s="18" t="s">
        <v>204</v>
      </c>
      <c r="K45" s="23"/>
      <c r="M45" s="78">
        <v>215.68600000000001</v>
      </c>
      <c r="N45" s="49">
        <v>0.2</v>
      </c>
      <c r="O45" s="38">
        <f t="shared" ref="O45" si="7">M45*(1-N45)</f>
        <v>172.54880000000003</v>
      </c>
      <c r="Q45" s="39"/>
      <c r="R45" s="40">
        <f t="shared" ref="R45" si="8">Q45*O45</f>
        <v>0</v>
      </c>
      <c r="S45" s="69"/>
    </row>
    <row r="46" spans="2:19" ht="11.25" hidden="1" customHeight="1" outlineLevel="1">
      <c r="B46" s="68"/>
      <c r="C46" s="22"/>
      <c r="K46" s="23"/>
      <c r="M46" s="78"/>
      <c r="N46" s="49"/>
      <c r="O46" s="38"/>
      <c r="Q46" s="39"/>
      <c r="R46" s="40"/>
      <c r="S46" s="69"/>
    </row>
    <row r="47" spans="2:19" hidden="1" outlineLevel="1">
      <c r="B47" s="68"/>
      <c r="C47" s="22"/>
      <c r="K47" s="23"/>
      <c r="M47" s="78"/>
      <c r="N47" s="49"/>
      <c r="O47" s="38"/>
      <c r="Q47" s="39"/>
      <c r="R47" s="40"/>
      <c r="S47" s="69"/>
    </row>
    <row r="48" spans="2:19" hidden="1" outlineLevel="1">
      <c r="B48" s="68"/>
      <c r="C48" s="22"/>
      <c r="D48" s="18" t="s">
        <v>209</v>
      </c>
      <c r="F48" s="18" t="s">
        <v>287</v>
      </c>
      <c r="K48" s="23"/>
      <c r="M48" s="78"/>
      <c r="N48" s="49"/>
      <c r="O48" s="38"/>
      <c r="Q48" s="39"/>
      <c r="R48" s="40"/>
      <c r="S48" s="69"/>
    </row>
    <row r="49" spans="2:19" hidden="1" outlineLevel="1">
      <c r="B49" s="68"/>
      <c r="C49" s="22" t="s">
        <v>469</v>
      </c>
      <c r="D49" s="18" t="s">
        <v>213</v>
      </c>
      <c r="F49" s="152" t="s">
        <v>288</v>
      </c>
      <c r="H49" s="18" t="s">
        <v>317</v>
      </c>
      <c r="J49" s="18" t="s">
        <v>3</v>
      </c>
      <c r="K49" s="23"/>
      <c r="M49" s="78">
        <v>46.137254901960787</v>
      </c>
      <c r="N49" s="49">
        <v>0.2</v>
      </c>
      <c r="O49" s="38">
        <f t="shared" ref="O49:O52" si="9">M49*(1-N49)</f>
        <v>36.909803921568631</v>
      </c>
      <c r="Q49" s="39"/>
      <c r="R49" s="40">
        <f t="shared" ref="R49:R52" si="10">Q49*O49</f>
        <v>0</v>
      </c>
      <c r="S49" s="69"/>
    </row>
    <row r="50" spans="2:19" hidden="1" outlineLevel="1">
      <c r="B50" s="68"/>
      <c r="C50" s="22" t="s">
        <v>470</v>
      </c>
      <c r="D50" s="18" t="s">
        <v>214</v>
      </c>
      <c r="F50" s="152" t="s">
        <v>289</v>
      </c>
      <c r="H50" s="18" t="s">
        <v>317</v>
      </c>
      <c r="J50" s="18" t="s">
        <v>3</v>
      </c>
      <c r="K50" s="23"/>
      <c r="M50" s="78">
        <v>83.047058823529426</v>
      </c>
      <c r="N50" s="49">
        <v>0.2</v>
      </c>
      <c r="O50" s="38">
        <f t="shared" si="9"/>
        <v>66.437647058823543</v>
      </c>
      <c r="Q50" s="39"/>
      <c r="R50" s="40">
        <f t="shared" si="10"/>
        <v>0</v>
      </c>
      <c r="S50" s="69"/>
    </row>
    <row r="51" spans="2:19" hidden="1" outlineLevel="1">
      <c r="B51" s="68"/>
      <c r="C51" s="22" t="s">
        <v>471</v>
      </c>
      <c r="D51" s="18" t="s">
        <v>249</v>
      </c>
      <c r="F51" s="152" t="s">
        <v>290</v>
      </c>
      <c r="H51" s="298" t="s">
        <v>317</v>
      </c>
      <c r="I51" s="298"/>
      <c r="J51" s="298" t="s">
        <v>3</v>
      </c>
      <c r="K51" s="23"/>
      <c r="M51" s="299">
        <v>38.142500000000005</v>
      </c>
      <c r="N51" s="300">
        <v>0.2</v>
      </c>
      <c r="O51" s="301">
        <f t="shared" si="9"/>
        <v>30.514000000000006</v>
      </c>
      <c r="Q51" s="39"/>
      <c r="R51" s="40">
        <f t="shared" si="10"/>
        <v>0</v>
      </c>
      <c r="S51" s="69"/>
    </row>
    <row r="52" spans="2:19" hidden="1" outlineLevel="1">
      <c r="B52" s="68"/>
      <c r="C52" s="22" t="s">
        <v>472</v>
      </c>
      <c r="D52" s="18" t="s">
        <v>250</v>
      </c>
      <c r="F52" s="152" t="s">
        <v>291</v>
      </c>
      <c r="H52" s="298" t="s">
        <v>317</v>
      </c>
      <c r="I52" s="298"/>
      <c r="J52" s="298" t="s">
        <v>3</v>
      </c>
      <c r="K52" s="23"/>
      <c r="M52" s="299">
        <v>80.099249999999998</v>
      </c>
      <c r="N52" s="300">
        <v>0.2</v>
      </c>
      <c r="O52" s="301">
        <f t="shared" si="9"/>
        <v>64.079400000000007</v>
      </c>
      <c r="Q52" s="39"/>
      <c r="R52" s="40">
        <f t="shared" si="10"/>
        <v>0</v>
      </c>
      <c r="S52" s="69"/>
    </row>
    <row r="53" spans="2:19" hidden="1" outlineLevel="1">
      <c r="B53" s="68"/>
      <c r="C53" s="22"/>
      <c r="K53" s="23"/>
      <c r="M53" s="78"/>
      <c r="N53" s="49"/>
      <c r="O53" s="38"/>
      <c r="Q53" s="39"/>
      <c r="R53" s="40"/>
      <c r="S53" s="69"/>
    </row>
    <row r="54" spans="2:19" hidden="1" outlineLevel="1">
      <c r="B54" s="68"/>
      <c r="C54" s="22"/>
      <c r="D54" s="153" t="s">
        <v>211</v>
      </c>
      <c r="E54" s="153"/>
      <c r="F54" s="153"/>
      <c r="K54" s="23"/>
      <c r="M54" s="78"/>
      <c r="N54" s="49"/>
      <c r="O54" s="38"/>
      <c r="Q54" s="39"/>
      <c r="R54" s="40"/>
      <c r="S54" s="69"/>
    </row>
    <row r="55" spans="2:19" hidden="1" outlineLevel="1">
      <c r="B55" s="68"/>
      <c r="C55" s="22"/>
      <c r="D55" s="18" t="s">
        <v>212</v>
      </c>
      <c r="F55" s="152" t="s">
        <v>292</v>
      </c>
      <c r="K55" s="23"/>
      <c r="M55" s="78"/>
      <c r="N55" s="49"/>
      <c r="O55" s="38"/>
      <c r="Q55" s="39"/>
      <c r="R55" s="40"/>
      <c r="S55" s="69"/>
    </row>
    <row r="56" spans="2:19" hidden="1" outlineLevel="1">
      <c r="B56" s="68"/>
      <c r="C56" s="22" t="s">
        <v>473</v>
      </c>
      <c r="D56" s="18" t="s">
        <v>214</v>
      </c>
      <c r="F56" s="152" t="s">
        <v>289</v>
      </c>
      <c r="H56" s="18" t="s">
        <v>317</v>
      </c>
      <c r="J56" s="18" t="s">
        <v>3</v>
      </c>
      <c r="K56" s="23"/>
      <c r="M56" s="299">
        <v>262.3</v>
      </c>
      <c r="N56" s="300">
        <v>0.2</v>
      </c>
      <c r="O56" s="301">
        <f t="shared" ref="O56:O59" si="11">M56*(1-N56)</f>
        <v>209.84000000000003</v>
      </c>
      <c r="Q56" s="39"/>
      <c r="R56" s="40">
        <f t="shared" ref="R56:R57" si="12">Q56*O56</f>
        <v>0</v>
      </c>
      <c r="S56" s="69"/>
    </row>
    <row r="57" spans="2:19" hidden="1" outlineLevel="1">
      <c r="B57" s="68"/>
      <c r="C57" s="22" t="s">
        <v>474</v>
      </c>
      <c r="D57" s="18" t="s">
        <v>250</v>
      </c>
      <c r="F57" s="152" t="s">
        <v>291</v>
      </c>
      <c r="H57" s="298" t="s">
        <v>317</v>
      </c>
      <c r="I57" s="298"/>
      <c r="J57" s="298" t="s">
        <v>3</v>
      </c>
      <c r="K57" s="23"/>
      <c r="M57" s="299">
        <f>184.01/0.9</f>
        <v>204.45555555555555</v>
      </c>
      <c r="N57" s="300">
        <v>0.2</v>
      </c>
      <c r="O57" s="301">
        <f t="shared" si="11"/>
        <v>163.56444444444446</v>
      </c>
      <c r="Q57" s="39"/>
      <c r="R57" s="40">
        <f t="shared" si="12"/>
        <v>0</v>
      </c>
      <c r="S57" s="69"/>
    </row>
    <row r="58" spans="2:19" hidden="1" outlineLevel="1">
      <c r="B58" s="68"/>
      <c r="C58" s="22"/>
      <c r="F58" s="152"/>
      <c r="H58" s="298"/>
      <c r="I58" s="298"/>
      <c r="J58" s="298"/>
      <c r="K58" s="23"/>
      <c r="M58" s="299"/>
      <c r="N58" s="300"/>
      <c r="O58" s="301"/>
      <c r="Q58" s="39"/>
      <c r="R58" s="40"/>
      <c r="S58" s="69"/>
    </row>
    <row r="59" spans="2:19" hidden="1" outlineLevel="1">
      <c r="B59" s="68"/>
      <c r="C59" s="22" t="s">
        <v>143</v>
      </c>
      <c r="D59" s="18" t="s">
        <v>145</v>
      </c>
      <c r="F59" s="18" t="s">
        <v>144</v>
      </c>
      <c r="H59" s="18" t="s">
        <v>64</v>
      </c>
      <c r="J59" s="18" t="s">
        <v>19</v>
      </c>
      <c r="K59" s="23"/>
      <c r="M59" s="78">
        <v>18.1666666666667</v>
      </c>
      <c r="N59" s="49">
        <v>0.3</v>
      </c>
      <c r="O59" s="38">
        <f t="shared" si="11"/>
        <v>12.71666666666669</v>
      </c>
      <c r="Q59" s="39"/>
      <c r="R59" s="40">
        <f t="shared" ref="R59" si="13">Q59*O59</f>
        <v>0</v>
      </c>
      <c r="S59" s="69"/>
    </row>
    <row r="60" spans="2:19" hidden="1" outlineLevel="1">
      <c r="B60" s="68"/>
      <c r="C60" s="22"/>
      <c r="K60" s="23"/>
      <c r="M60" s="78"/>
      <c r="N60" s="49"/>
      <c r="O60" s="38"/>
      <c r="Q60" s="39"/>
      <c r="R60" s="40"/>
      <c r="S60" s="69"/>
    </row>
    <row r="61" spans="2:19" hidden="1" outlineLevel="1">
      <c r="B61" s="68"/>
      <c r="C61" s="74"/>
      <c r="D61" s="75"/>
      <c r="E61" s="75"/>
      <c r="F61" s="75"/>
      <c r="G61" s="75"/>
      <c r="H61" s="75"/>
      <c r="I61" s="75"/>
      <c r="J61" s="75"/>
      <c r="K61" s="76"/>
      <c r="M61" s="79"/>
      <c r="N61" s="50"/>
      <c r="O61" s="81"/>
      <c r="Q61" s="83"/>
      <c r="R61" s="41"/>
      <c r="S61" s="69"/>
    </row>
    <row r="62" spans="2:19" collapsed="1">
      <c r="B62" s="68"/>
      <c r="C62" s="309"/>
      <c r="D62" s="304" t="s">
        <v>424</v>
      </c>
      <c r="E62" s="304"/>
      <c r="F62" s="311" t="s">
        <v>240</v>
      </c>
      <c r="G62" s="304"/>
      <c r="H62" s="304"/>
      <c r="I62" s="304"/>
      <c r="J62" s="304"/>
      <c r="K62" s="310"/>
      <c r="M62" s="552"/>
      <c r="N62" s="553"/>
      <c r="O62" s="554"/>
      <c r="Q62" s="307"/>
      <c r="R62" s="308">
        <f>SUM(R63:R87)</f>
        <v>0</v>
      </c>
      <c r="S62" s="69"/>
    </row>
    <row r="63" spans="2:19" hidden="1" outlineLevel="1">
      <c r="B63" s="68"/>
      <c r="C63" s="71"/>
      <c r="D63" s="72"/>
      <c r="E63" s="72"/>
      <c r="F63" s="72"/>
      <c r="G63" s="72"/>
      <c r="H63" s="72"/>
      <c r="I63" s="72"/>
      <c r="J63" s="72"/>
      <c r="K63" s="73"/>
      <c r="M63" s="77"/>
      <c r="N63" s="48"/>
      <c r="O63" s="80"/>
      <c r="Q63" s="82"/>
      <c r="R63" s="37"/>
      <c r="S63" s="69"/>
    </row>
    <row r="64" spans="2:19" hidden="1" outlineLevel="1">
      <c r="B64" s="68"/>
      <c r="C64" s="22"/>
      <c r="D64" s="18" t="s">
        <v>146</v>
      </c>
      <c r="F64" s="152" t="s">
        <v>286</v>
      </c>
      <c r="K64" s="23"/>
      <c r="M64" s="78"/>
      <c r="N64" s="49"/>
      <c r="O64" s="38"/>
      <c r="Q64" s="39"/>
      <c r="R64" s="40"/>
      <c r="S64" s="69"/>
    </row>
    <row r="65" spans="2:19" hidden="1" outlineLevel="1">
      <c r="B65" s="68"/>
      <c r="C65" s="22"/>
      <c r="D65" s="18" t="s">
        <v>147</v>
      </c>
      <c r="F65" s="18" t="s">
        <v>278</v>
      </c>
      <c r="K65" s="23"/>
      <c r="M65" s="78"/>
      <c r="N65" s="49"/>
      <c r="O65" s="38"/>
      <c r="Q65" s="39"/>
      <c r="R65" s="40"/>
      <c r="S65" s="69"/>
    </row>
    <row r="66" spans="2:19" hidden="1" outlineLevel="1">
      <c r="B66" s="68"/>
      <c r="C66" s="22" t="s">
        <v>475</v>
      </c>
      <c r="D66" s="18" t="s">
        <v>245</v>
      </c>
      <c r="F66" s="152" t="s">
        <v>279</v>
      </c>
      <c r="H66" s="18" t="s">
        <v>71</v>
      </c>
      <c r="J66" s="18" t="s">
        <v>204</v>
      </c>
      <c r="K66" s="23"/>
      <c r="M66" s="78">
        <v>32.294117647058819</v>
      </c>
      <c r="N66" s="49">
        <v>0.5</v>
      </c>
      <c r="O66" s="38">
        <f>M66*(1-N66)</f>
        <v>16.147058823529409</v>
      </c>
      <c r="Q66" s="39"/>
      <c r="R66" s="40">
        <f t="shared" ref="R66:R68" si="14">Q66*O66</f>
        <v>0</v>
      </c>
      <c r="S66" s="69"/>
    </row>
    <row r="67" spans="2:19" hidden="1" outlineLevel="1">
      <c r="B67" s="68"/>
      <c r="C67" s="22" t="s">
        <v>476</v>
      </c>
      <c r="D67" s="18" t="s">
        <v>203</v>
      </c>
      <c r="F67" s="18" t="s">
        <v>280</v>
      </c>
      <c r="H67" s="18" t="s">
        <v>71</v>
      </c>
      <c r="J67" s="18" t="s">
        <v>204</v>
      </c>
      <c r="K67" s="23"/>
      <c r="M67" s="78">
        <v>118.627</v>
      </c>
      <c r="N67" s="49">
        <v>0.5</v>
      </c>
      <c r="O67" s="38">
        <f t="shared" ref="O67:O68" si="15">M67*(1-N67)</f>
        <v>59.313499999999998</v>
      </c>
      <c r="Q67" s="39"/>
      <c r="R67" s="40">
        <f t="shared" si="14"/>
        <v>0</v>
      </c>
      <c r="S67" s="69"/>
    </row>
    <row r="68" spans="2:19" hidden="1" outlineLevel="1">
      <c r="B68" s="68"/>
      <c r="C68" s="22" t="s">
        <v>477</v>
      </c>
      <c r="D68" s="18" t="s">
        <v>206</v>
      </c>
      <c r="F68" s="18" t="s">
        <v>281</v>
      </c>
      <c r="H68" s="18" t="s">
        <v>205</v>
      </c>
      <c r="J68" s="18" t="s">
        <v>80</v>
      </c>
      <c r="K68" s="23"/>
      <c r="M68" s="78">
        <v>2.3730000000000002</v>
      </c>
      <c r="N68" s="49">
        <v>0.5</v>
      </c>
      <c r="O68" s="38">
        <f t="shared" si="15"/>
        <v>1.1865000000000001</v>
      </c>
      <c r="Q68" s="39"/>
      <c r="R68" s="40">
        <f t="shared" si="14"/>
        <v>0</v>
      </c>
      <c r="S68" s="69"/>
    </row>
    <row r="69" spans="2:19" hidden="1" outlineLevel="1">
      <c r="B69" s="68"/>
      <c r="C69" s="22"/>
      <c r="K69" s="23"/>
      <c r="M69" s="78"/>
      <c r="N69" s="49"/>
      <c r="O69" s="38"/>
      <c r="Q69" s="39"/>
      <c r="R69" s="40"/>
      <c r="S69" s="69"/>
    </row>
    <row r="70" spans="2:19" hidden="1" outlineLevel="1">
      <c r="B70" s="68"/>
      <c r="C70" s="22"/>
      <c r="D70" s="153" t="s">
        <v>149</v>
      </c>
      <c r="K70" s="23"/>
      <c r="M70" s="78"/>
      <c r="N70" s="49"/>
      <c r="O70" s="38"/>
      <c r="Q70" s="39"/>
      <c r="R70" s="40"/>
      <c r="S70" s="69"/>
    </row>
    <row r="71" spans="2:19" hidden="1" outlineLevel="1">
      <c r="B71" s="68"/>
      <c r="C71" s="22"/>
      <c r="D71" s="18" t="s">
        <v>207</v>
      </c>
      <c r="F71" s="18" t="s">
        <v>282</v>
      </c>
      <c r="K71" s="23"/>
      <c r="M71" s="78"/>
      <c r="N71" s="49"/>
      <c r="O71" s="38"/>
      <c r="Q71" s="39"/>
      <c r="R71" s="40"/>
      <c r="S71" s="69"/>
    </row>
    <row r="72" spans="2:19" hidden="1" outlineLevel="1">
      <c r="B72" s="68"/>
      <c r="C72" s="22" t="s">
        <v>478</v>
      </c>
      <c r="D72" s="18" t="s">
        <v>148</v>
      </c>
      <c r="F72" s="152" t="s">
        <v>284</v>
      </c>
      <c r="H72" s="18" t="s">
        <v>71</v>
      </c>
      <c r="J72" s="18" t="s">
        <v>204</v>
      </c>
      <c r="K72" s="23"/>
      <c r="M72" s="78">
        <v>54.470999999999997</v>
      </c>
      <c r="N72" s="49">
        <v>0.5</v>
      </c>
      <c r="O72" s="38">
        <f t="shared" ref="O72:O73" si="16">M72*(1-N72)</f>
        <v>27.235499999999998</v>
      </c>
      <c r="Q72" s="39"/>
      <c r="R72" s="40">
        <f t="shared" ref="R72:R73" si="17">Q72*O72</f>
        <v>0</v>
      </c>
      <c r="S72" s="69"/>
    </row>
    <row r="73" spans="2:19" hidden="1" outlineLevel="1">
      <c r="B73" s="68"/>
      <c r="C73" s="22" t="s">
        <v>479</v>
      </c>
      <c r="D73" s="18" t="s">
        <v>203</v>
      </c>
      <c r="F73" s="18" t="s">
        <v>280</v>
      </c>
      <c r="H73" s="18" t="s">
        <v>71</v>
      </c>
      <c r="J73" s="18" t="s">
        <v>204</v>
      </c>
      <c r="K73" s="23"/>
      <c r="M73" s="78">
        <v>194.53800000000001</v>
      </c>
      <c r="N73" s="49">
        <v>0.5</v>
      </c>
      <c r="O73" s="38">
        <f t="shared" si="16"/>
        <v>97.269000000000005</v>
      </c>
      <c r="Q73" s="39"/>
      <c r="R73" s="40">
        <f t="shared" si="17"/>
        <v>0</v>
      </c>
      <c r="S73" s="69"/>
    </row>
    <row r="74" spans="2:19" hidden="1" outlineLevel="1">
      <c r="B74" s="68"/>
      <c r="C74" s="22"/>
      <c r="K74" s="23"/>
      <c r="M74" s="78"/>
      <c r="N74" s="49"/>
      <c r="O74" s="38"/>
      <c r="Q74" s="39"/>
      <c r="R74" s="40"/>
      <c r="S74" s="69"/>
    </row>
    <row r="75" spans="2:19" hidden="1" outlineLevel="1">
      <c r="B75" s="68"/>
      <c r="C75" s="22"/>
      <c r="D75" s="18" t="s">
        <v>208</v>
      </c>
      <c r="F75" s="18" t="s">
        <v>283</v>
      </c>
      <c r="K75" s="23"/>
      <c r="M75" s="78"/>
      <c r="N75" s="49"/>
      <c r="O75" s="38"/>
      <c r="Q75" s="39"/>
      <c r="R75" s="40"/>
      <c r="S75" s="69"/>
    </row>
    <row r="76" spans="2:19" hidden="1" outlineLevel="1">
      <c r="B76" s="68"/>
      <c r="C76" s="22" t="s">
        <v>480</v>
      </c>
      <c r="D76" s="18" t="s">
        <v>148</v>
      </c>
      <c r="F76" s="152" t="s">
        <v>284</v>
      </c>
      <c r="H76" s="18" t="s">
        <v>71</v>
      </c>
      <c r="J76" s="18" t="s">
        <v>204</v>
      </c>
      <c r="K76" s="23"/>
      <c r="M76" s="78">
        <v>215.68600000000001</v>
      </c>
      <c r="N76" s="49">
        <v>0.5</v>
      </c>
      <c r="O76" s="38">
        <f t="shared" ref="O76" si="18">M76*(1-N76)</f>
        <v>107.843</v>
      </c>
      <c r="Q76" s="39"/>
      <c r="R76" s="40">
        <f t="shared" ref="R76" si="19">Q76*O76</f>
        <v>0</v>
      </c>
      <c r="S76" s="69"/>
    </row>
    <row r="77" spans="2:19" hidden="1" outlineLevel="1">
      <c r="B77" s="68"/>
      <c r="C77" s="22"/>
      <c r="K77" s="23"/>
      <c r="M77" s="78"/>
      <c r="N77" s="49"/>
      <c r="O77" s="38"/>
      <c r="Q77" s="39"/>
      <c r="R77" s="40"/>
      <c r="S77" s="69"/>
    </row>
    <row r="78" spans="2:19" hidden="1" outlineLevel="1">
      <c r="B78" s="68"/>
      <c r="C78" s="22"/>
      <c r="K78" s="23"/>
      <c r="M78" s="78"/>
      <c r="N78" s="49"/>
      <c r="O78" s="38"/>
      <c r="Q78" s="39"/>
      <c r="R78" s="40"/>
      <c r="S78" s="69"/>
    </row>
    <row r="79" spans="2:19" hidden="1" outlineLevel="1">
      <c r="B79" s="68"/>
      <c r="C79" s="22" t="s">
        <v>481</v>
      </c>
      <c r="D79" s="18" t="s">
        <v>246</v>
      </c>
      <c r="F79" s="18" t="s">
        <v>294</v>
      </c>
      <c r="H79" s="298" t="s">
        <v>59</v>
      </c>
      <c r="I79" s="298"/>
      <c r="J79" s="298" t="s">
        <v>16</v>
      </c>
      <c r="K79" s="23"/>
      <c r="M79" s="299">
        <v>10.581</v>
      </c>
      <c r="N79" s="300">
        <v>0.3</v>
      </c>
      <c r="O79" s="301">
        <f t="shared" ref="O79:O84" si="20">M79*(1-N79)</f>
        <v>7.406699999999999</v>
      </c>
      <c r="Q79" s="39"/>
      <c r="R79" s="40">
        <f t="shared" ref="R79:R84" si="21">Q79*O79</f>
        <v>0</v>
      </c>
      <c r="S79" s="69"/>
    </row>
    <row r="80" spans="2:19" hidden="1" outlineLevel="1">
      <c r="B80" s="68"/>
      <c r="C80" s="22" t="s">
        <v>482</v>
      </c>
      <c r="D80" s="18" t="s">
        <v>540</v>
      </c>
      <c r="F80" s="18" t="s">
        <v>295</v>
      </c>
      <c r="H80" s="18" t="s">
        <v>318</v>
      </c>
      <c r="J80" s="18" t="s">
        <v>215</v>
      </c>
      <c r="K80" s="23"/>
      <c r="M80" s="78">
        <v>47.921999999999997</v>
      </c>
      <c r="N80" s="49">
        <v>0.5</v>
      </c>
      <c r="O80" s="38">
        <f t="shared" si="20"/>
        <v>23.960999999999999</v>
      </c>
      <c r="Q80" s="39"/>
      <c r="R80" s="40">
        <f t="shared" si="21"/>
        <v>0</v>
      </c>
      <c r="S80" s="69"/>
    </row>
    <row r="81" spans="2:19" hidden="1" outlineLevel="1">
      <c r="B81" s="68"/>
      <c r="C81" s="22" t="s">
        <v>483</v>
      </c>
      <c r="D81" s="18" t="s">
        <v>541</v>
      </c>
      <c r="F81" s="18" t="s">
        <v>296</v>
      </c>
      <c r="H81" s="18" t="s">
        <v>59</v>
      </c>
      <c r="J81" s="18" t="s">
        <v>16</v>
      </c>
      <c r="K81" s="23"/>
      <c r="M81" s="78">
        <v>3.1947999999999999</v>
      </c>
      <c r="N81" s="49">
        <v>0.5</v>
      </c>
      <c r="O81" s="38">
        <f t="shared" si="20"/>
        <v>1.5973999999999999</v>
      </c>
      <c r="Q81" s="39"/>
      <c r="R81" s="40">
        <f t="shared" si="21"/>
        <v>0</v>
      </c>
      <c r="S81" s="69"/>
    </row>
    <row r="82" spans="2:19" hidden="1" outlineLevel="1">
      <c r="B82" s="68"/>
      <c r="C82" s="22" t="s">
        <v>486</v>
      </c>
      <c r="D82" s="18" t="s">
        <v>264</v>
      </c>
      <c r="F82" s="18" t="s">
        <v>298</v>
      </c>
      <c r="H82" s="298" t="s">
        <v>132</v>
      </c>
      <c r="I82" s="298"/>
      <c r="J82" s="298" t="s">
        <v>403</v>
      </c>
      <c r="K82" s="23"/>
      <c r="M82" s="299">
        <f>M183</f>
        <v>547.84899999999993</v>
      </c>
      <c r="N82" s="300">
        <v>0.3</v>
      </c>
      <c r="O82" s="301">
        <f t="shared" si="20"/>
        <v>383.49429999999995</v>
      </c>
      <c r="Q82" s="39"/>
      <c r="R82" s="40">
        <f t="shared" si="21"/>
        <v>0</v>
      </c>
      <c r="S82" s="69"/>
    </row>
    <row r="83" spans="2:19" hidden="1" outlineLevel="1">
      <c r="B83" s="68"/>
      <c r="C83" s="22" t="s">
        <v>487</v>
      </c>
      <c r="D83" s="18" t="s">
        <v>404</v>
      </c>
      <c r="F83" s="18" t="s">
        <v>405</v>
      </c>
      <c r="H83" s="298" t="s">
        <v>59</v>
      </c>
      <c r="I83" s="298"/>
      <c r="J83" s="298" t="s">
        <v>16</v>
      </c>
      <c r="K83" s="23"/>
      <c r="M83" s="299">
        <f>M49/2</f>
        <v>23.068627450980394</v>
      </c>
      <c r="N83" s="300">
        <v>0.3</v>
      </c>
      <c r="O83" s="301">
        <f t="shared" si="20"/>
        <v>16.148039215686275</v>
      </c>
      <c r="Q83" s="39"/>
      <c r="R83" s="40">
        <f t="shared" si="21"/>
        <v>0</v>
      </c>
      <c r="S83" s="69"/>
    </row>
    <row r="84" spans="2:19" hidden="1" outlineLevel="1">
      <c r="B84" s="68"/>
      <c r="C84" s="22" t="s">
        <v>488</v>
      </c>
      <c r="D84" s="18" t="s">
        <v>293</v>
      </c>
      <c r="F84" s="18" t="s">
        <v>232</v>
      </c>
      <c r="H84" s="298" t="s">
        <v>406</v>
      </c>
      <c r="I84" s="298"/>
      <c r="J84" s="298" t="s">
        <v>407</v>
      </c>
      <c r="K84" s="23"/>
      <c r="M84" s="299">
        <f>M82</f>
        <v>547.84899999999993</v>
      </c>
      <c r="N84" s="300">
        <v>0.3</v>
      </c>
      <c r="O84" s="301">
        <f t="shared" si="20"/>
        <v>383.49429999999995</v>
      </c>
      <c r="Q84" s="39"/>
      <c r="R84" s="40">
        <f t="shared" si="21"/>
        <v>0</v>
      </c>
      <c r="S84" s="69"/>
    </row>
    <row r="85" spans="2:19" hidden="1" outlineLevel="1">
      <c r="B85" s="68"/>
      <c r="C85" s="22" t="s">
        <v>484</v>
      </c>
      <c r="D85" s="18" t="s">
        <v>251</v>
      </c>
      <c r="F85" s="18" t="s">
        <v>542</v>
      </c>
      <c r="H85" s="298" t="s">
        <v>62</v>
      </c>
      <c r="I85" s="298"/>
      <c r="J85" s="298" t="s">
        <v>20</v>
      </c>
      <c r="K85" s="23"/>
      <c r="M85" s="299">
        <v>214.79900000000001</v>
      </c>
      <c r="N85" s="300">
        <v>0.3</v>
      </c>
      <c r="O85" s="301">
        <f>M85*(1-N85)</f>
        <v>150.35929999999999</v>
      </c>
      <c r="Q85" s="39"/>
      <c r="R85" s="40">
        <f>Q85*O85</f>
        <v>0</v>
      </c>
      <c r="S85" s="69"/>
    </row>
    <row r="86" spans="2:19" hidden="1" outlineLevel="1">
      <c r="B86" s="68"/>
      <c r="C86" s="22" t="s">
        <v>485</v>
      </c>
      <c r="D86" s="18" t="s">
        <v>247</v>
      </c>
      <c r="F86" s="18" t="s">
        <v>297</v>
      </c>
      <c r="H86" s="298" t="s">
        <v>62</v>
      </c>
      <c r="I86" s="298"/>
      <c r="J86" s="298" t="s">
        <v>20</v>
      </c>
      <c r="K86" s="23"/>
      <c r="M86" s="299">
        <v>279.23869999999999</v>
      </c>
      <c r="N86" s="300">
        <v>0.3</v>
      </c>
      <c r="O86" s="301">
        <f>M86*(1-N86)</f>
        <v>195.46708999999998</v>
      </c>
      <c r="Q86" s="39"/>
      <c r="R86" s="40">
        <f>Q86*O86</f>
        <v>0</v>
      </c>
      <c r="S86" s="69"/>
    </row>
    <row r="87" spans="2:19" hidden="1" outlineLevel="1">
      <c r="B87" s="68"/>
      <c r="C87" s="74"/>
      <c r="D87" s="75"/>
      <c r="E87" s="75"/>
      <c r="F87" s="75"/>
      <c r="G87" s="75"/>
      <c r="H87" s="75"/>
      <c r="I87" s="75"/>
      <c r="J87" s="75"/>
      <c r="K87" s="76"/>
      <c r="M87" s="79"/>
      <c r="N87" s="50"/>
      <c r="O87" s="81"/>
      <c r="Q87" s="83"/>
      <c r="R87" s="41"/>
      <c r="S87" s="69"/>
    </row>
    <row r="88" spans="2:19" collapsed="1">
      <c r="B88" s="68"/>
      <c r="S88" s="69"/>
    </row>
    <row r="89" spans="2:19">
      <c r="B89" s="68"/>
      <c r="C89" s="146"/>
      <c r="D89" s="269" t="s">
        <v>427</v>
      </c>
      <c r="E89" s="147"/>
      <c r="F89" s="269" t="s">
        <v>235</v>
      </c>
      <c r="G89" s="147"/>
      <c r="H89" s="147"/>
      <c r="I89" s="147"/>
      <c r="J89" s="147"/>
      <c r="K89" s="148"/>
      <c r="M89" s="555"/>
      <c r="N89" s="556"/>
      <c r="O89" s="557"/>
      <c r="Q89" s="149"/>
      <c r="R89" s="150">
        <f>R90+R97+R142</f>
        <v>0</v>
      </c>
      <c r="S89" s="69"/>
    </row>
    <row r="90" spans="2:19">
      <c r="B90" s="68"/>
      <c r="C90" s="305"/>
      <c r="D90" s="303" t="s">
        <v>426</v>
      </c>
      <c r="E90" s="303"/>
      <c r="F90" s="303" t="s">
        <v>256</v>
      </c>
      <c r="G90" s="303"/>
      <c r="H90" s="303"/>
      <c r="I90" s="303"/>
      <c r="J90" s="303"/>
      <c r="K90" s="306"/>
      <c r="M90" s="558"/>
      <c r="N90" s="559"/>
      <c r="O90" s="560"/>
      <c r="Q90" s="307"/>
      <c r="R90" s="308">
        <f>SUM(R91:R96)</f>
        <v>0</v>
      </c>
      <c r="S90" s="69"/>
    </row>
    <row r="91" spans="2:19" hidden="1" outlineLevel="1">
      <c r="B91" s="68"/>
      <c r="C91" s="71"/>
      <c r="D91" s="72"/>
      <c r="E91" s="72"/>
      <c r="F91" s="72"/>
      <c r="G91" s="72"/>
      <c r="I91" s="72"/>
      <c r="J91" s="72"/>
      <c r="K91" s="73"/>
      <c r="M91" s="77"/>
      <c r="N91" s="48"/>
      <c r="O91" s="80"/>
      <c r="Q91" s="82"/>
      <c r="R91" s="37"/>
      <c r="S91" s="69"/>
    </row>
    <row r="92" spans="2:19" hidden="1" outlineLevel="1">
      <c r="B92" s="68"/>
      <c r="C92" s="22" t="s">
        <v>489</v>
      </c>
      <c r="D92" s="18" t="s">
        <v>252</v>
      </c>
      <c r="F92" s="18" t="s">
        <v>299</v>
      </c>
      <c r="H92" s="298" t="s">
        <v>66</v>
      </c>
      <c r="I92" s="298"/>
      <c r="J92" s="298" t="s">
        <v>13</v>
      </c>
      <c r="K92" s="23"/>
      <c r="M92" s="299">
        <f>M94/3</f>
        <v>68.151851851851845</v>
      </c>
      <c r="N92" s="300">
        <v>0.3</v>
      </c>
      <c r="O92" s="301">
        <f t="shared" ref="O92:O94" si="22">M92*(1-N92)</f>
        <v>47.706296296296287</v>
      </c>
      <c r="Q92" s="39"/>
      <c r="R92" s="40">
        <f t="shared" ref="R92:R94" si="23">Q92*O92</f>
        <v>0</v>
      </c>
      <c r="S92" s="69"/>
    </row>
    <row r="93" spans="2:19" hidden="1" outlineLevel="1">
      <c r="B93" s="68"/>
      <c r="C93" s="22" t="s">
        <v>490</v>
      </c>
      <c r="D93" s="18" t="s">
        <v>253</v>
      </c>
      <c r="F93" s="18" t="s">
        <v>300</v>
      </c>
      <c r="H93" s="298" t="s">
        <v>271</v>
      </c>
      <c r="I93" s="298"/>
      <c r="J93" s="298" t="s">
        <v>408</v>
      </c>
      <c r="K93" s="23"/>
      <c r="M93" s="299">
        <f>M57/2</f>
        <v>102.22777777777777</v>
      </c>
      <c r="N93" s="300">
        <v>0.3</v>
      </c>
      <c r="O93" s="301">
        <f t="shared" si="22"/>
        <v>71.559444444444438</v>
      </c>
      <c r="Q93" s="39"/>
      <c r="R93" s="40">
        <f t="shared" si="23"/>
        <v>0</v>
      </c>
      <c r="S93" s="69"/>
    </row>
    <row r="94" spans="2:19" hidden="1" outlineLevel="1">
      <c r="B94" s="68"/>
      <c r="C94" s="22" t="s">
        <v>491</v>
      </c>
      <c r="D94" s="18" t="s">
        <v>254</v>
      </c>
      <c r="F94" s="18" t="s">
        <v>301</v>
      </c>
      <c r="H94" s="298" t="s">
        <v>271</v>
      </c>
      <c r="I94" s="298"/>
      <c r="J94" s="298" t="s">
        <v>408</v>
      </c>
      <c r="K94" s="23"/>
      <c r="M94" s="299">
        <f>M93*2</f>
        <v>204.45555555555555</v>
      </c>
      <c r="N94" s="300">
        <v>0.3</v>
      </c>
      <c r="O94" s="301">
        <f t="shared" si="22"/>
        <v>143.11888888888888</v>
      </c>
      <c r="Q94" s="39"/>
      <c r="R94" s="40">
        <f t="shared" si="23"/>
        <v>0</v>
      </c>
      <c r="S94" s="69"/>
    </row>
    <row r="95" spans="2:19" hidden="1" outlineLevel="1">
      <c r="B95" s="68"/>
      <c r="C95" s="22" t="s">
        <v>492</v>
      </c>
      <c r="D95" s="18" t="s">
        <v>255</v>
      </c>
      <c r="F95" s="18" t="s">
        <v>302</v>
      </c>
      <c r="H95" s="298" t="s">
        <v>271</v>
      </c>
      <c r="I95" s="298"/>
      <c r="J95" s="298" t="s">
        <v>408</v>
      </c>
      <c r="K95" s="23"/>
      <c r="M95" s="78"/>
      <c r="N95" s="49"/>
      <c r="O95" s="38"/>
      <c r="Q95" s="39"/>
      <c r="R95" s="40"/>
      <c r="S95" s="69"/>
    </row>
    <row r="96" spans="2:19" hidden="1" outlineLevel="1">
      <c r="B96" s="68"/>
      <c r="C96" s="22"/>
      <c r="K96" s="23"/>
      <c r="M96" s="78"/>
      <c r="N96" s="49"/>
      <c r="O96" s="38"/>
      <c r="Q96" s="85"/>
      <c r="R96" s="40"/>
      <c r="S96" s="69"/>
    </row>
    <row r="97" spans="2:19" collapsed="1">
      <c r="B97" s="68"/>
      <c r="C97" s="309"/>
      <c r="D97" s="304" t="s">
        <v>428</v>
      </c>
      <c r="E97" s="304"/>
      <c r="F97" s="304" t="s">
        <v>236</v>
      </c>
      <c r="G97" s="304"/>
      <c r="H97" s="304"/>
      <c r="I97" s="304"/>
      <c r="J97" s="304"/>
      <c r="K97" s="310"/>
      <c r="M97" s="552"/>
      <c r="N97" s="553"/>
      <c r="O97" s="554"/>
      <c r="Q97" s="307"/>
      <c r="R97" s="308">
        <f>SUM(R98:R141)</f>
        <v>0</v>
      </c>
      <c r="S97" s="69"/>
    </row>
    <row r="98" spans="2:19" outlineLevel="1">
      <c r="B98" s="68"/>
      <c r="C98" s="71"/>
      <c r="D98" s="72"/>
      <c r="E98" s="72"/>
      <c r="F98" s="72"/>
      <c r="G98" s="72"/>
      <c r="I98" s="72"/>
      <c r="J98" s="72"/>
      <c r="K98" s="73"/>
      <c r="M98" s="77"/>
      <c r="N98" s="48"/>
      <c r="O98" s="80"/>
      <c r="Q98" s="82"/>
      <c r="R98" s="37"/>
      <c r="S98" s="69"/>
    </row>
    <row r="99" spans="2:19" outlineLevel="1">
      <c r="B99" s="68"/>
      <c r="C99" s="22"/>
      <c r="D99" s="18" t="s">
        <v>146</v>
      </c>
      <c r="F99" s="152" t="s">
        <v>286</v>
      </c>
      <c r="K99" s="23"/>
      <c r="M99" s="78"/>
      <c r="N99" s="49"/>
      <c r="O99" s="38"/>
      <c r="Q99" s="39"/>
      <c r="R99" s="40"/>
      <c r="S99" s="69"/>
    </row>
    <row r="100" spans="2:19" outlineLevel="1">
      <c r="B100" s="68"/>
      <c r="C100" s="22"/>
      <c r="D100" s="18" t="s">
        <v>147</v>
      </c>
      <c r="F100" s="18" t="s">
        <v>278</v>
      </c>
      <c r="K100" s="23"/>
      <c r="M100" s="78"/>
      <c r="N100" s="49"/>
      <c r="O100" s="38"/>
      <c r="Q100" s="39"/>
      <c r="R100" s="40"/>
      <c r="S100" s="69"/>
    </row>
    <row r="101" spans="2:19" outlineLevel="1">
      <c r="B101" s="68"/>
      <c r="C101" s="22" t="s">
        <v>493</v>
      </c>
      <c r="D101" s="18" t="s">
        <v>245</v>
      </c>
      <c r="F101" s="152" t="s">
        <v>279</v>
      </c>
      <c r="H101" s="18" t="s">
        <v>71</v>
      </c>
      <c r="J101" s="18" t="s">
        <v>204</v>
      </c>
      <c r="K101" s="23"/>
      <c r="M101" s="78">
        <v>32.294117647058819</v>
      </c>
      <c r="N101" s="49">
        <v>0.5</v>
      </c>
      <c r="O101" s="38">
        <f>M101*(1-N101)</f>
        <v>16.147058823529409</v>
      </c>
      <c r="Q101" s="39"/>
      <c r="R101" s="40">
        <f t="shared" ref="R101:R103" si="24">Q101*O101</f>
        <v>0</v>
      </c>
      <c r="S101" s="69"/>
    </row>
    <row r="102" spans="2:19" outlineLevel="1">
      <c r="B102" s="68"/>
      <c r="C102" s="22" t="s">
        <v>494</v>
      </c>
      <c r="D102" s="18" t="s">
        <v>203</v>
      </c>
      <c r="F102" s="18" t="s">
        <v>280</v>
      </c>
      <c r="H102" s="18" t="s">
        <v>71</v>
      </c>
      <c r="J102" s="18" t="s">
        <v>204</v>
      </c>
      <c r="K102" s="23"/>
      <c r="M102" s="78">
        <v>118.627</v>
      </c>
      <c r="N102" s="49">
        <v>0.5</v>
      </c>
      <c r="O102" s="38">
        <f t="shared" ref="O102:O103" si="25">M102*(1-N102)</f>
        <v>59.313499999999998</v>
      </c>
      <c r="Q102" s="39"/>
      <c r="R102" s="40">
        <f t="shared" si="24"/>
        <v>0</v>
      </c>
      <c r="S102" s="69"/>
    </row>
    <row r="103" spans="2:19" outlineLevel="1">
      <c r="B103" s="68"/>
      <c r="C103" s="22" t="s">
        <v>495</v>
      </c>
      <c r="D103" s="18" t="s">
        <v>206</v>
      </c>
      <c r="F103" s="18" t="s">
        <v>281</v>
      </c>
      <c r="H103" s="18" t="s">
        <v>205</v>
      </c>
      <c r="J103" s="18" t="s">
        <v>80</v>
      </c>
      <c r="K103" s="23"/>
      <c r="M103" s="78">
        <v>2.3730000000000002</v>
      </c>
      <c r="N103" s="49">
        <v>0.5</v>
      </c>
      <c r="O103" s="38">
        <f t="shared" si="25"/>
        <v>1.1865000000000001</v>
      </c>
      <c r="Q103" s="39"/>
      <c r="R103" s="40">
        <f t="shared" si="24"/>
        <v>0</v>
      </c>
      <c r="S103" s="69"/>
    </row>
    <row r="104" spans="2:19" outlineLevel="1">
      <c r="B104" s="68"/>
      <c r="C104" s="22"/>
      <c r="K104" s="23"/>
      <c r="M104" s="78"/>
      <c r="N104" s="49"/>
      <c r="O104" s="38"/>
      <c r="Q104" s="39"/>
      <c r="R104" s="40"/>
      <c r="S104" s="69"/>
    </row>
    <row r="105" spans="2:19" outlineLevel="1">
      <c r="B105" s="68"/>
      <c r="C105" s="22"/>
      <c r="D105" s="153" t="s">
        <v>149</v>
      </c>
      <c r="K105" s="23"/>
      <c r="M105" s="78"/>
      <c r="N105" s="49"/>
      <c r="O105" s="38"/>
      <c r="Q105" s="39"/>
      <c r="R105" s="40"/>
      <c r="S105" s="69"/>
    </row>
    <row r="106" spans="2:19" outlineLevel="1">
      <c r="B106" s="68"/>
      <c r="C106" s="22"/>
      <c r="D106" s="18" t="s">
        <v>207</v>
      </c>
      <c r="F106" s="18" t="s">
        <v>282</v>
      </c>
      <c r="K106" s="23"/>
      <c r="M106" s="78"/>
      <c r="N106" s="49"/>
      <c r="O106" s="38"/>
      <c r="Q106" s="39"/>
      <c r="R106" s="40"/>
      <c r="S106" s="69"/>
    </row>
    <row r="107" spans="2:19" outlineLevel="1">
      <c r="B107" s="68"/>
      <c r="C107" s="22" t="s">
        <v>496</v>
      </c>
      <c r="D107" s="18" t="s">
        <v>148</v>
      </c>
      <c r="F107" s="152" t="s">
        <v>284</v>
      </c>
      <c r="H107" s="18" t="s">
        <v>71</v>
      </c>
      <c r="J107" s="18" t="s">
        <v>204</v>
      </c>
      <c r="K107" s="23"/>
      <c r="M107" s="78">
        <v>54.470999999999997</v>
      </c>
      <c r="N107" s="49">
        <v>0.5</v>
      </c>
      <c r="O107" s="38">
        <f t="shared" ref="O107:O108" si="26">M107*(1-N107)</f>
        <v>27.235499999999998</v>
      </c>
      <c r="Q107" s="39"/>
      <c r="R107" s="40">
        <f t="shared" ref="R107:R108" si="27">Q107*O107</f>
        <v>0</v>
      </c>
      <c r="S107" s="69"/>
    </row>
    <row r="108" spans="2:19" outlineLevel="1">
      <c r="B108" s="68"/>
      <c r="C108" s="22" t="s">
        <v>497</v>
      </c>
      <c r="D108" s="18" t="s">
        <v>203</v>
      </c>
      <c r="F108" s="18" t="s">
        <v>280</v>
      </c>
      <c r="H108" s="18" t="s">
        <v>71</v>
      </c>
      <c r="J108" s="18" t="s">
        <v>204</v>
      </c>
      <c r="K108" s="23"/>
      <c r="M108" s="78">
        <v>194.53800000000001</v>
      </c>
      <c r="N108" s="49">
        <v>0.5</v>
      </c>
      <c r="O108" s="38">
        <f t="shared" si="26"/>
        <v>97.269000000000005</v>
      </c>
      <c r="Q108" s="39"/>
      <c r="R108" s="40">
        <f t="shared" si="27"/>
        <v>0</v>
      </c>
      <c r="S108" s="69"/>
    </row>
    <row r="109" spans="2:19" outlineLevel="1">
      <c r="B109" s="68"/>
      <c r="C109" s="22"/>
      <c r="K109" s="23"/>
      <c r="M109" s="78"/>
      <c r="N109" s="49"/>
      <c r="O109" s="38"/>
      <c r="Q109" s="39"/>
      <c r="R109" s="40"/>
      <c r="S109" s="69"/>
    </row>
    <row r="110" spans="2:19" outlineLevel="1">
      <c r="B110" s="68"/>
      <c r="C110" s="22"/>
      <c r="D110" s="18" t="s">
        <v>208</v>
      </c>
      <c r="F110" s="18" t="s">
        <v>283</v>
      </c>
      <c r="K110" s="23"/>
      <c r="M110" s="78"/>
      <c r="N110" s="49"/>
      <c r="O110" s="38"/>
      <c r="Q110" s="39"/>
      <c r="R110" s="40"/>
      <c r="S110" s="69"/>
    </row>
    <row r="111" spans="2:19" outlineLevel="1">
      <c r="B111" s="68"/>
      <c r="C111" s="22" t="s">
        <v>498</v>
      </c>
      <c r="D111" s="18" t="s">
        <v>148</v>
      </c>
      <c r="F111" s="152" t="s">
        <v>284</v>
      </c>
      <c r="H111" s="18" t="s">
        <v>71</v>
      </c>
      <c r="J111" s="18" t="s">
        <v>204</v>
      </c>
      <c r="K111" s="23"/>
      <c r="M111" s="78">
        <v>215.68600000000001</v>
      </c>
      <c r="N111" s="49">
        <v>0.5</v>
      </c>
      <c r="O111" s="38">
        <f t="shared" ref="O111" si="28">M111*(1-N111)</f>
        <v>107.843</v>
      </c>
      <c r="Q111" s="39"/>
      <c r="R111" s="40">
        <f t="shared" ref="R111" si="29">Q111*O111</f>
        <v>0</v>
      </c>
      <c r="S111" s="69"/>
    </row>
    <row r="112" spans="2:19" outlineLevel="1">
      <c r="B112" s="68"/>
      <c r="C112" s="22"/>
      <c r="K112" s="23"/>
      <c r="M112" s="78"/>
      <c r="N112" s="49"/>
      <c r="O112" s="38"/>
      <c r="Q112" s="39"/>
      <c r="R112" s="40"/>
      <c r="S112" s="69"/>
    </row>
    <row r="113" spans="2:19" outlineLevel="1">
      <c r="B113" s="68"/>
      <c r="C113" s="22"/>
      <c r="K113" s="23"/>
      <c r="M113" s="78"/>
      <c r="N113" s="49"/>
      <c r="O113" s="38"/>
      <c r="Q113" s="39"/>
      <c r="R113" s="40"/>
      <c r="S113" s="69"/>
    </row>
    <row r="114" spans="2:19" outlineLevel="1">
      <c r="B114" s="68"/>
      <c r="C114" s="22"/>
      <c r="K114" s="23"/>
      <c r="M114" s="78"/>
      <c r="N114" s="49"/>
      <c r="O114" s="38"/>
      <c r="Q114" s="39"/>
      <c r="R114" s="40"/>
      <c r="S114" s="69"/>
    </row>
    <row r="115" spans="2:19" outlineLevel="1">
      <c r="B115" s="68"/>
      <c r="C115" s="22"/>
      <c r="D115" s="18" t="s">
        <v>303</v>
      </c>
      <c r="F115" s="18" t="s">
        <v>259</v>
      </c>
      <c r="K115" s="23"/>
      <c r="M115" s="78"/>
      <c r="N115" s="49"/>
      <c r="O115" s="38"/>
      <c r="Q115" s="39"/>
      <c r="R115" s="40"/>
      <c r="S115" s="69"/>
    </row>
    <row r="116" spans="2:19" outlineLevel="1">
      <c r="B116" s="68"/>
      <c r="C116" s="22" t="s">
        <v>499</v>
      </c>
      <c r="D116" s="18" t="s">
        <v>304</v>
      </c>
      <c r="F116" s="18" t="s">
        <v>223</v>
      </c>
      <c r="H116" s="298" t="s">
        <v>224</v>
      </c>
      <c r="I116" s="298"/>
      <c r="J116" s="298" t="s">
        <v>402</v>
      </c>
      <c r="K116" s="23"/>
      <c r="M116" s="299">
        <v>91.542000000000002</v>
      </c>
      <c r="N116" s="300">
        <v>0.5</v>
      </c>
      <c r="O116" s="301">
        <f t="shared" ref="O116:O122" si="30">M116*(1-N116)</f>
        <v>45.771000000000001</v>
      </c>
      <c r="Q116" s="39"/>
      <c r="R116" s="40">
        <f t="shared" ref="R116:R122" si="31">Q116*O116</f>
        <v>0</v>
      </c>
      <c r="S116" s="69"/>
    </row>
    <row r="117" spans="2:19" outlineLevel="1">
      <c r="B117" s="68"/>
      <c r="C117" s="22" t="s">
        <v>501</v>
      </c>
      <c r="D117" s="18" t="s">
        <v>305</v>
      </c>
      <c r="F117" s="18" t="s">
        <v>225</v>
      </c>
      <c r="H117" s="298" t="s">
        <v>224</v>
      </c>
      <c r="I117" s="298"/>
      <c r="J117" s="298" t="s">
        <v>402</v>
      </c>
      <c r="K117" s="23"/>
      <c r="M117" s="299">
        <v>127.845</v>
      </c>
      <c r="N117" s="300">
        <v>0.5</v>
      </c>
      <c r="O117" s="301">
        <f t="shared" si="30"/>
        <v>63.922499999999999</v>
      </c>
      <c r="Q117" s="39"/>
      <c r="R117" s="40">
        <f t="shared" si="31"/>
        <v>0</v>
      </c>
      <c r="S117" s="69"/>
    </row>
    <row r="118" spans="2:19" outlineLevel="1">
      <c r="B118" s="68"/>
      <c r="C118" s="22" t="s">
        <v>503</v>
      </c>
      <c r="D118" s="18" t="s">
        <v>306</v>
      </c>
      <c r="F118" s="18" t="s">
        <v>226</v>
      </c>
      <c r="H118" s="298" t="s">
        <v>224</v>
      </c>
      <c r="I118" s="298"/>
      <c r="J118" s="298" t="s">
        <v>402</v>
      </c>
      <c r="K118" s="23"/>
      <c r="M118" s="299">
        <v>91.542000000000002</v>
      </c>
      <c r="N118" s="300">
        <v>0.5</v>
      </c>
      <c r="O118" s="301">
        <f t="shared" si="30"/>
        <v>45.771000000000001</v>
      </c>
      <c r="Q118" s="39"/>
      <c r="R118" s="40">
        <f t="shared" si="31"/>
        <v>0</v>
      </c>
      <c r="S118" s="69"/>
    </row>
    <row r="119" spans="2:19" outlineLevel="1">
      <c r="B119" s="68"/>
      <c r="C119" s="22" t="s">
        <v>504</v>
      </c>
      <c r="D119" s="18" t="s">
        <v>307</v>
      </c>
      <c r="F119" s="18" t="s">
        <v>227</v>
      </c>
      <c r="H119" s="298" t="s">
        <v>224</v>
      </c>
      <c r="I119" s="298"/>
      <c r="J119" s="298" t="s">
        <v>402</v>
      </c>
      <c r="K119" s="23"/>
      <c r="M119" s="299">
        <v>127.845</v>
      </c>
      <c r="N119" s="300">
        <v>0.5</v>
      </c>
      <c r="O119" s="301">
        <f t="shared" si="30"/>
        <v>63.922499999999999</v>
      </c>
      <c r="Q119" s="39"/>
      <c r="R119" s="40">
        <f t="shared" si="31"/>
        <v>0</v>
      </c>
      <c r="S119" s="69"/>
    </row>
    <row r="120" spans="2:19" outlineLevel="1">
      <c r="B120" s="68"/>
      <c r="C120" s="22" t="s">
        <v>505</v>
      </c>
      <c r="D120" s="18" t="s">
        <v>308</v>
      </c>
      <c r="F120" s="18" t="s">
        <v>228</v>
      </c>
      <c r="H120" s="298" t="s">
        <v>224</v>
      </c>
      <c r="I120" s="298"/>
      <c r="J120" s="298" t="s">
        <v>402</v>
      </c>
      <c r="K120" s="23"/>
      <c r="M120" s="299">
        <f>M130/1.25</f>
        <v>30.514000000000003</v>
      </c>
      <c r="N120" s="300">
        <v>0.2</v>
      </c>
      <c r="O120" s="301">
        <f t="shared" si="30"/>
        <v>24.411200000000004</v>
      </c>
      <c r="Q120" s="39"/>
      <c r="R120" s="40">
        <f t="shared" si="31"/>
        <v>0</v>
      </c>
      <c r="S120" s="69"/>
    </row>
    <row r="121" spans="2:19" outlineLevel="1">
      <c r="B121" s="68"/>
      <c r="C121" s="22" t="s">
        <v>506</v>
      </c>
      <c r="D121" s="18" t="s">
        <v>309</v>
      </c>
      <c r="F121" s="18" t="s">
        <v>229</v>
      </c>
      <c r="H121" s="298" t="s">
        <v>224</v>
      </c>
      <c r="I121" s="298"/>
      <c r="J121" s="298" t="s">
        <v>402</v>
      </c>
      <c r="K121" s="23"/>
      <c r="M121" s="299">
        <f t="shared" ref="M121:M122" si="32">M131/1.25</f>
        <v>30.514000000000003</v>
      </c>
      <c r="N121" s="300">
        <v>0.2</v>
      </c>
      <c r="O121" s="301">
        <f t="shared" si="30"/>
        <v>24.411200000000004</v>
      </c>
      <c r="Q121" s="39"/>
      <c r="R121" s="40">
        <f t="shared" si="31"/>
        <v>0</v>
      </c>
      <c r="S121" s="69"/>
    </row>
    <row r="122" spans="2:19" outlineLevel="1">
      <c r="B122" s="68"/>
      <c r="C122" s="22" t="s">
        <v>507</v>
      </c>
      <c r="D122" s="18" t="s">
        <v>310</v>
      </c>
      <c r="F122" s="18" t="s">
        <v>230</v>
      </c>
      <c r="H122" s="298" t="s">
        <v>224</v>
      </c>
      <c r="I122" s="298"/>
      <c r="J122" s="298" t="s">
        <v>402</v>
      </c>
      <c r="K122" s="23"/>
      <c r="M122" s="299">
        <f t="shared" si="32"/>
        <v>68.151851851851845</v>
      </c>
      <c r="N122" s="300">
        <v>0.2</v>
      </c>
      <c r="O122" s="301">
        <f t="shared" si="30"/>
        <v>54.52148148148148</v>
      </c>
      <c r="Q122" s="39"/>
      <c r="R122" s="40">
        <f t="shared" si="31"/>
        <v>0</v>
      </c>
      <c r="S122" s="69"/>
    </row>
    <row r="123" spans="2:19" outlineLevel="1">
      <c r="B123" s="68"/>
      <c r="C123" s="22"/>
      <c r="H123" s="298"/>
      <c r="I123" s="298"/>
      <c r="J123" s="298"/>
      <c r="K123" s="23"/>
      <c r="M123" s="78"/>
      <c r="N123" s="49"/>
      <c r="O123" s="38"/>
      <c r="Q123" s="39"/>
      <c r="R123" s="40"/>
      <c r="S123" s="69"/>
    </row>
    <row r="124" spans="2:19" outlineLevel="1">
      <c r="B124" s="68"/>
      <c r="C124" s="22"/>
      <c r="H124" s="298"/>
      <c r="I124" s="298"/>
      <c r="J124" s="298"/>
      <c r="K124" s="23"/>
      <c r="M124" s="78"/>
      <c r="N124" s="49"/>
      <c r="O124" s="38"/>
      <c r="Q124" s="39"/>
      <c r="R124" s="40"/>
      <c r="S124" s="69"/>
    </row>
    <row r="125" spans="2:19" outlineLevel="1">
      <c r="B125" s="68"/>
      <c r="C125" s="22"/>
      <c r="D125" s="18" t="s">
        <v>311</v>
      </c>
      <c r="F125" s="18" t="s">
        <v>258</v>
      </c>
      <c r="H125" s="298"/>
      <c r="I125" s="298"/>
      <c r="J125" s="298"/>
      <c r="K125" s="23"/>
      <c r="M125" s="78"/>
      <c r="N125" s="49"/>
      <c r="O125" s="38"/>
      <c r="Q125" s="39"/>
      <c r="R125" s="40"/>
      <c r="S125" s="69"/>
    </row>
    <row r="126" spans="2:19" outlineLevel="1">
      <c r="B126" s="68"/>
      <c r="C126" s="22" t="s">
        <v>500</v>
      </c>
      <c r="D126" s="18" t="s">
        <v>304</v>
      </c>
      <c r="F126" s="18" t="s">
        <v>223</v>
      </c>
      <c r="H126" s="298" t="s">
        <v>224</v>
      </c>
      <c r="I126" s="298"/>
      <c r="J126" s="298" t="s">
        <v>402</v>
      </c>
      <c r="K126" s="23"/>
      <c r="M126" s="299">
        <f>M116*1.25</f>
        <v>114.42750000000001</v>
      </c>
      <c r="N126" s="300">
        <v>0.5</v>
      </c>
      <c r="O126" s="301">
        <f t="shared" ref="O126:O129" si="33">M126*(1-N126)</f>
        <v>57.213750000000005</v>
      </c>
      <c r="Q126" s="39"/>
      <c r="R126" s="40">
        <f t="shared" ref="R126:R132" si="34">Q126*O126</f>
        <v>0</v>
      </c>
      <c r="S126" s="69"/>
    </row>
    <row r="127" spans="2:19" outlineLevel="1">
      <c r="B127" s="68"/>
      <c r="C127" s="22" t="s">
        <v>502</v>
      </c>
      <c r="D127" s="18" t="s">
        <v>305</v>
      </c>
      <c r="F127" s="18" t="s">
        <v>225</v>
      </c>
      <c r="H127" s="298" t="s">
        <v>224</v>
      </c>
      <c r="I127" s="298"/>
      <c r="J127" s="298" t="s">
        <v>402</v>
      </c>
      <c r="K127" s="23"/>
      <c r="M127" s="299">
        <f t="shared" ref="M127:M129" si="35">M117*1.25</f>
        <v>159.80625000000001</v>
      </c>
      <c r="N127" s="300">
        <v>0.5</v>
      </c>
      <c r="O127" s="301">
        <f t="shared" si="33"/>
        <v>79.903125000000003</v>
      </c>
      <c r="Q127" s="39"/>
      <c r="R127" s="40">
        <f t="shared" si="34"/>
        <v>0</v>
      </c>
      <c r="S127" s="69"/>
    </row>
    <row r="128" spans="2:19" outlineLevel="1">
      <c r="B128" s="68"/>
      <c r="C128" s="22" t="s">
        <v>508</v>
      </c>
      <c r="D128" s="18" t="s">
        <v>306</v>
      </c>
      <c r="F128" s="18" t="s">
        <v>226</v>
      </c>
      <c r="H128" s="298" t="s">
        <v>224</v>
      </c>
      <c r="I128" s="298"/>
      <c r="J128" s="298" t="s">
        <v>402</v>
      </c>
      <c r="K128" s="23"/>
      <c r="M128" s="299">
        <f t="shared" si="35"/>
        <v>114.42750000000001</v>
      </c>
      <c r="N128" s="300">
        <v>0.5</v>
      </c>
      <c r="O128" s="301">
        <f t="shared" si="33"/>
        <v>57.213750000000005</v>
      </c>
      <c r="Q128" s="39"/>
      <c r="R128" s="40">
        <f t="shared" si="34"/>
        <v>0</v>
      </c>
      <c r="S128" s="69"/>
    </row>
    <row r="129" spans="2:19" outlineLevel="1">
      <c r="B129" s="68"/>
      <c r="C129" s="22" t="s">
        <v>509</v>
      </c>
      <c r="D129" s="18" t="s">
        <v>307</v>
      </c>
      <c r="F129" s="18" t="s">
        <v>227</v>
      </c>
      <c r="H129" s="298" t="s">
        <v>224</v>
      </c>
      <c r="I129" s="298"/>
      <c r="J129" s="298" t="s">
        <v>402</v>
      </c>
      <c r="K129" s="23"/>
      <c r="M129" s="299">
        <f t="shared" si="35"/>
        <v>159.80625000000001</v>
      </c>
      <c r="N129" s="300">
        <v>0.5</v>
      </c>
      <c r="O129" s="301">
        <f t="shared" si="33"/>
        <v>79.903125000000003</v>
      </c>
      <c r="Q129" s="39"/>
      <c r="R129" s="40">
        <f t="shared" si="34"/>
        <v>0</v>
      </c>
      <c r="S129" s="69"/>
    </row>
    <row r="130" spans="2:19" outlineLevel="1">
      <c r="B130" s="68"/>
      <c r="C130" s="22" t="s">
        <v>510</v>
      </c>
      <c r="D130" s="18" t="s">
        <v>308</v>
      </c>
      <c r="F130" s="18" t="s">
        <v>228</v>
      </c>
      <c r="H130" s="298" t="s">
        <v>224</v>
      </c>
      <c r="I130" s="298"/>
      <c r="J130" s="298" t="s">
        <v>402</v>
      </c>
      <c r="K130" s="23"/>
      <c r="M130" s="299">
        <v>38.142500000000005</v>
      </c>
      <c r="N130" s="300">
        <v>0.2</v>
      </c>
      <c r="O130" s="301">
        <v>30.514000000000006</v>
      </c>
      <c r="Q130" s="39"/>
      <c r="R130" s="40">
        <f t="shared" si="34"/>
        <v>0</v>
      </c>
      <c r="S130" s="69"/>
    </row>
    <row r="131" spans="2:19" outlineLevel="1">
      <c r="B131" s="68"/>
      <c r="C131" s="22" t="s">
        <v>511</v>
      </c>
      <c r="D131" s="18" t="s">
        <v>309</v>
      </c>
      <c r="F131" s="18" t="s">
        <v>229</v>
      </c>
      <c r="H131" s="298" t="s">
        <v>224</v>
      </c>
      <c r="I131" s="298"/>
      <c r="J131" s="298" t="s">
        <v>402</v>
      </c>
      <c r="K131" s="23"/>
      <c r="M131" s="299">
        <v>38.142500000000005</v>
      </c>
      <c r="N131" s="300">
        <v>0.2</v>
      </c>
      <c r="O131" s="301">
        <v>30.514000000000006</v>
      </c>
      <c r="Q131" s="39"/>
      <c r="R131" s="40">
        <f t="shared" si="34"/>
        <v>0</v>
      </c>
      <c r="S131" s="69"/>
    </row>
    <row r="132" spans="2:19" outlineLevel="1">
      <c r="B132" s="68"/>
      <c r="C132" s="22" t="s">
        <v>512</v>
      </c>
      <c r="D132" s="18" t="s">
        <v>310</v>
      </c>
      <c r="F132" s="18" t="s">
        <v>230</v>
      </c>
      <c r="H132" s="298" t="s">
        <v>224</v>
      </c>
      <c r="I132" s="298"/>
      <c r="J132" s="298" t="s">
        <v>402</v>
      </c>
      <c r="K132" s="23"/>
      <c r="M132" s="299">
        <v>85.18981481481481</v>
      </c>
      <c r="N132" s="300">
        <v>0.5</v>
      </c>
      <c r="O132" s="301">
        <v>42.594907407407405</v>
      </c>
      <c r="Q132" s="39"/>
      <c r="R132" s="40">
        <f t="shared" si="34"/>
        <v>0</v>
      </c>
      <c r="S132" s="69"/>
    </row>
    <row r="133" spans="2:19" outlineLevel="1">
      <c r="B133" s="68"/>
      <c r="C133" s="22"/>
      <c r="H133" s="298"/>
      <c r="I133" s="298"/>
      <c r="J133" s="298"/>
      <c r="K133" s="23"/>
      <c r="M133" s="78"/>
      <c r="N133" s="49"/>
      <c r="O133" s="38"/>
      <c r="Q133" s="39"/>
      <c r="R133" s="40"/>
      <c r="S133" s="69"/>
    </row>
    <row r="134" spans="2:19" outlineLevel="1">
      <c r="B134" s="68"/>
      <c r="C134" s="22"/>
      <c r="H134" s="298"/>
      <c r="I134" s="298"/>
      <c r="J134" s="298"/>
      <c r="K134" s="23"/>
      <c r="M134" s="78"/>
      <c r="N134" s="49"/>
      <c r="O134" s="38"/>
      <c r="Q134" s="39"/>
      <c r="R134" s="40"/>
      <c r="S134" s="69"/>
    </row>
    <row r="135" spans="2:19" outlineLevel="1">
      <c r="B135" s="68"/>
      <c r="C135" s="22"/>
      <c r="H135" s="298"/>
      <c r="I135" s="298"/>
      <c r="J135" s="298"/>
      <c r="K135" s="23"/>
      <c r="M135" s="78"/>
      <c r="N135" s="49"/>
      <c r="O135" s="38"/>
      <c r="Q135" s="39"/>
      <c r="R135" s="40"/>
      <c r="S135" s="69"/>
    </row>
    <row r="136" spans="2:19" outlineLevel="1">
      <c r="B136" s="68"/>
      <c r="C136" s="22"/>
      <c r="H136" s="298"/>
      <c r="I136" s="298"/>
      <c r="J136" s="298"/>
      <c r="K136" s="23"/>
      <c r="M136" s="78"/>
      <c r="N136" s="49"/>
      <c r="O136" s="38"/>
      <c r="Q136" s="39"/>
      <c r="R136" s="40"/>
      <c r="S136" s="69"/>
    </row>
    <row r="137" spans="2:19" outlineLevel="1">
      <c r="B137" s="68"/>
      <c r="C137" s="22"/>
      <c r="D137" s="18" t="s">
        <v>409</v>
      </c>
      <c r="F137" s="18" t="s">
        <v>410</v>
      </c>
      <c r="H137" s="298" t="s">
        <v>231</v>
      </c>
      <c r="I137" s="298"/>
      <c r="J137" s="298" t="s">
        <v>411</v>
      </c>
      <c r="K137" s="23"/>
      <c r="M137" s="299">
        <f>183.617/0.7</f>
        <v>262.31</v>
      </c>
      <c r="N137" s="300">
        <v>0.3</v>
      </c>
      <c r="O137" s="301">
        <f t="shared" ref="O137:O139" si="36">M137*(1-N137)</f>
        <v>183.61699999999999</v>
      </c>
      <c r="Q137" s="39"/>
      <c r="R137" s="40">
        <f t="shared" ref="R137:R139" si="37">Q137*O137</f>
        <v>0</v>
      </c>
      <c r="S137" s="69"/>
    </row>
    <row r="138" spans="2:19" outlineLevel="1">
      <c r="B138" s="68"/>
      <c r="C138" s="22"/>
      <c r="D138" s="18" t="s">
        <v>412</v>
      </c>
      <c r="F138" s="18" t="s">
        <v>413</v>
      </c>
      <c r="H138" s="298" t="s">
        <v>231</v>
      </c>
      <c r="I138" s="298"/>
      <c r="J138" s="298" t="s">
        <v>411</v>
      </c>
      <c r="K138" s="23"/>
      <c r="M138" s="299">
        <f>182.472/0.7</f>
        <v>260.67428571428576</v>
      </c>
      <c r="N138" s="300">
        <v>0.3</v>
      </c>
      <c r="O138" s="301">
        <f t="shared" si="36"/>
        <v>182.47200000000001</v>
      </c>
      <c r="Q138" s="39"/>
      <c r="R138" s="40">
        <f t="shared" si="37"/>
        <v>0</v>
      </c>
      <c r="S138" s="69"/>
    </row>
    <row r="139" spans="2:19" outlineLevel="1">
      <c r="B139" s="68"/>
      <c r="C139" s="22"/>
      <c r="D139" s="18" t="s">
        <v>414</v>
      </c>
      <c r="F139" s="18" t="s">
        <v>415</v>
      </c>
      <c r="H139" s="298" t="s">
        <v>132</v>
      </c>
      <c r="I139" s="298"/>
      <c r="J139" s="298" t="s">
        <v>403</v>
      </c>
      <c r="K139" s="23"/>
      <c r="M139" s="299">
        <f>173.184/0.7</f>
        <v>247.40571428571431</v>
      </c>
      <c r="N139" s="300">
        <v>0.3</v>
      </c>
      <c r="O139" s="301">
        <f t="shared" si="36"/>
        <v>173.184</v>
      </c>
      <c r="Q139" s="39"/>
      <c r="R139" s="40">
        <f t="shared" si="37"/>
        <v>0</v>
      </c>
      <c r="S139" s="69"/>
    </row>
    <row r="140" spans="2:19" outlineLevel="1">
      <c r="B140" s="68"/>
      <c r="C140" s="22"/>
      <c r="K140" s="23"/>
      <c r="M140" s="78"/>
      <c r="N140" s="49"/>
      <c r="O140" s="38"/>
      <c r="Q140" s="39"/>
      <c r="R140" s="40"/>
      <c r="S140" s="69"/>
    </row>
    <row r="141" spans="2:19" outlineLevel="1">
      <c r="B141" s="68"/>
      <c r="C141" s="74"/>
      <c r="D141" s="75"/>
      <c r="E141" s="75"/>
      <c r="F141" s="75"/>
      <c r="G141" s="75"/>
      <c r="H141" s="75"/>
      <c r="I141" s="75"/>
      <c r="J141" s="75"/>
      <c r="K141" s="76"/>
      <c r="M141" s="79"/>
      <c r="N141" s="50"/>
      <c r="O141" s="81"/>
      <c r="Q141" s="83"/>
      <c r="R141" s="41"/>
      <c r="S141" s="69"/>
    </row>
    <row r="142" spans="2:19">
      <c r="B142" s="68"/>
      <c r="C142" s="309"/>
      <c r="D142" s="304" t="s">
        <v>429</v>
      </c>
      <c r="E142" s="304"/>
      <c r="F142" s="304" t="s">
        <v>257</v>
      </c>
      <c r="G142" s="304"/>
      <c r="H142" s="304"/>
      <c r="I142" s="304"/>
      <c r="J142" s="304"/>
      <c r="K142" s="310"/>
      <c r="M142" s="552"/>
      <c r="N142" s="553"/>
      <c r="O142" s="554"/>
      <c r="Q142" s="307"/>
      <c r="R142" s="308">
        <f>SUM(R143:R166)</f>
        <v>0</v>
      </c>
      <c r="S142" s="69"/>
    </row>
    <row r="143" spans="2:19" hidden="1" outlineLevel="1">
      <c r="B143" s="68"/>
      <c r="C143" s="71"/>
      <c r="D143" s="72"/>
      <c r="E143" s="72"/>
      <c r="F143" s="72"/>
      <c r="G143" s="72"/>
      <c r="H143" s="72"/>
      <c r="I143" s="72"/>
      <c r="J143" s="72"/>
      <c r="K143" s="73"/>
      <c r="M143" s="77"/>
      <c r="N143" s="48"/>
      <c r="O143" s="80"/>
      <c r="Q143" s="82"/>
      <c r="R143" s="37"/>
      <c r="S143" s="69"/>
    </row>
    <row r="144" spans="2:19" hidden="1" outlineLevel="1">
      <c r="B144" s="68"/>
      <c r="C144" s="22"/>
      <c r="D144" s="18" t="s">
        <v>146</v>
      </c>
      <c r="F144" s="152" t="s">
        <v>286</v>
      </c>
      <c r="K144" s="23"/>
      <c r="M144" s="78"/>
      <c r="N144" s="49"/>
      <c r="O144" s="38"/>
      <c r="Q144" s="39"/>
      <c r="R144" s="40"/>
      <c r="S144" s="69"/>
    </row>
    <row r="145" spans="2:19" hidden="1" outlineLevel="1">
      <c r="B145" s="68"/>
      <c r="C145" s="22"/>
      <c r="D145" s="18" t="s">
        <v>147</v>
      </c>
      <c r="F145" s="18" t="s">
        <v>278</v>
      </c>
      <c r="K145" s="23"/>
      <c r="M145" s="78"/>
      <c r="N145" s="49"/>
      <c r="O145" s="38"/>
      <c r="Q145" s="39"/>
      <c r="R145" s="40"/>
      <c r="S145" s="69"/>
    </row>
    <row r="146" spans="2:19" hidden="1" outlineLevel="1">
      <c r="B146" s="68"/>
      <c r="C146" s="22" t="s">
        <v>513</v>
      </c>
      <c r="D146" s="18" t="s">
        <v>245</v>
      </c>
      <c r="F146" s="152" t="s">
        <v>279</v>
      </c>
      <c r="H146" s="18" t="s">
        <v>71</v>
      </c>
      <c r="J146" s="18" t="s">
        <v>204</v>
      </c>
      <c r="K146" s="23"/>
      <c r="M146" s="78">
        <v>32.294117647058819</v>
      </c>
      <c r="N146" s="49">
        <v>0.5</v>
      </c>
      <c r="O146" s="38">
        <f>M146*(1-N146)</f>
        <v>16.147058823529409</v>
      </c>
      <c r="Q146" s="39"/>
      <c r="R146" s="40">
        <f t="shared" ref="R146:R148" si="38">Q146*O146</f>
        <v>0</v>
      </c>
      <c r="S146" s="69"/>
    </row>
    <row r="147" spans="2:19" hidden="1" outlineLevel="1">
      <c r="B147" s="68"/>
      <c r="C147" s="22" t="s">
        <v>514</v>
      </c>
      <c r="D147" s="18" t="s">
        <v>203</v>
      </c>
      <c r="F147" s="18" t="s">
        <v>280</v>
      </c>
      <c r="H147" s="18" t="s">
        <v>71</v>
      </c>
      <c r="J147" s="18" t="s">
        <v>204</v>
      </c>
      <c r="K147" s="23"/>
      <c r="M147" s="78">
        <v>118.627</v>
      </c>
      <c r="N147" s="49">
        <v>0.5</v>
      </c>
      <c r="O147" s="38">
        <f t="shared" ref="O147:O148" si="39">M147*(1-N147)</f>
        <v>59.313499999999998</v>
      </c>
      <c r="Q147" s="39"/>
      <c r="R147" s="40">
        <f t="shared" si="38"/>
        <v>0</v>
      </c>
      <c r="S147" s="69"/>
    </row>
    <row r="148" spans="2:19" hidden="1" outlineLevel="1">
      <c r="B148" s="68"/>
      <c r="C148" s="22" t="s">
        <v>515</v>
      </c>
      <c r="D148" s="18" t="s">
        <v>206</v>
      </c>
      <c r="F148" s="18" t="s">
        <v>281</v>
      </c>
      <c r="H148" s="18" t="s">
        <v>205</v>
      </c>
      <c r="J148" s="18" t="s">
        <v>80</v>
      </c>
      <c r="K148" s="23"/>
      <c r="M148" s="78">
        <v>2.3730000000000002</v>
      </c>
      <c r="N148" s="49">
        <v>0.5</v>
      </c>
      <c r="O148" s="38">
        <f t="shared" si="39"/>
        <v>1.1865000000000001</v>
      </c>
      <c r="Q148" s="39"/>
      <c r="R148" s="40">
        <f t="shared" si="38"/>
        <v>0</v>
      </c>
      <c r="S148" s="69"/>
    </row>
    <row r="149" spans="2:19" hidden="1" outlineLevel="1">
      <c r="B149" s="68"/>
      <c r="C149" s="22"/>
      <c r="K149" s="23"/>
      <c r="M149" s="78"/>
      <c r="N149" s="49"/>
      <c r="O149" s="38"/>
      <c r="Q149" s="39"/>
      <c r="R149" s="40"/>
      <c r="S149" s="69"/>
    </row>
    <row r="150" spans="2:19" hidden="1" outlineLevel="1">
      <c r="B150" s="68"/>
      <c r="C150" s="22"/>
      <c r="D150" s="153" t="s">
        <v>149</v>
      </c>
      <c r="K150" s="23"/>
      <c r="M150" s="78"/>
      <c r="N150" s="49"/>
      <c r="O150" s="38"/>
      <c r="Q150" s="39"/>
      <c r="R150" s="40"/>
      <c r="S150" s="69"/>
    </row>
    <row r="151" spans="2:19" hidden="1" outlineLevel="1">
      <c r="B151" s="68"/>
      <c r="C151" s="22"/>
      <c r="D151" s="18" t="s">
        <v>207</v>
      </c>
      <c r="F151" s="18" t="s">
        <v>282</v>
      </c>
      <c r="K151" s="23"/>
      <c r="M151" s="78"/>
      <c r="N151" s="49"/>
      <c r="O151" s="38"/>
      <c r="Q151" s="39"/>
      <c r="R151" s="40"/>
      <c r="S151" s="69"/>
    </row>
    <row r="152" spans="2:19" hidden="1" outlineLevel="1">
      <c r="B152" s="68"/>
      <c r="C152" s="22" t="s">
        <v>516</v>
      </c>
      <c r="D152" s="18" t="s">
        <v>148</v>
      </c>
      <c r="F152" s="152" t="s">
        <v>284</v>
      </c>
      <c r="H152" s="18" t="s">
        <v>71</v>
      </c>
      <c r="J152" s="18" t="s">
        <v>204</v>
      </c>
      <c r="K152" s="23"/>
      <c r="M152" s="78">
        <v>54.470999999999997</v>
      </c>
      <c r="N152" s="49">
        <v>0.5</v>
      </c>
      <c r="O152" s="38">
        <f t="shared" ref="O152:O153" si="40">M152*(1-N152)</f>
        <v>27.235499999999998</v>
      </c>
      <c r="Q152" s="39"/>
      <c r="R152" s="40">
        <f t="shared" ref="R152:R153" si="41">Q152*O152</f>
        <v>0</v>
      </c>
      <c r="S152" s="69"/>
    </row>
    <row r="153" spans="2:19" hidden="1" outlineLevel="1">
      <c r="B153" s="68"/>
      <c r="C153" s="22" t="s">
        <v>517</v>
      </c>
      <c r="D153" s="18" t="s">
        <v>203</v>
      </c>
      <c r="F153" s="18" t="s">
        <v>280</v>
      </c>
      <c r="H153" s="18" t="s">
        <v>71</v>
      </c>
      <c r="J153" s="18" t="s">
        <v>204</v>
      </c>
      <c r="K153" s="23"/>
      <c r="M153" s="78">
        <v>194.53800000000001</v>
      </c>
      <c r="N153" s="49">
        <v>0.5</v>
      </c>
      <c r="O153" s="38">
        <f t="shared" si="40"/>
        <v>97.269000000000005</v>
      </c>
      <c r="Q153" s="39"/>
      <c r="R153" s="40">
        <f t="shared" si="41"/>
        <v>0</v>
      </c>
      <c r="S153" s="69"/>
    </row>
    <row r="154" spans="2:19" hidden="1" outlineLevel="1">
      <c r="B154" s="68"/>
      <c r="C154" s="22"/>
      <c r="K154" s="23"/>
      <c r="M154" s="78"/>
      <c r="N154" s="49"/>
      <c r="O154" s="38"/>
      <c r="Q154" s="39"/>
      <c r="R154" s="40"/>
      <c r="S154" s="69"/>
    </row>
    <row r="155" spans="2:19" hidden="1" outlineLevel="1">
      <c r="B155" s="68"/>
      <c r="C155" s="22"/>
      <c r="D155" s="18" t="s">
        <v>208</v>
      </c>
      <c r="F155" s="18" t="s">
        <v>283</v>
      </c>
      <c r="K155" s="23"/>
      <c r="M155" s="78"/>
      <c r="N155" s="49"/>
      <c r="O155" s="38"/>
      <c r="Q155" s="39"/>
      <c r="R155" s="40"/>
      <c r="S155" s="69"/>
    </row>
    <row r="156" spans="2:19" hidden="1" outlineLevel="1">
      <c r="B156" s="68"/>
      <c r="C156" s="22" t="s">
        <v>518</v>
      </c>
      <c r="D156" s="18" t="s">
        <v>148</v>
      </c>
      <c r="F156" s="152" t="s">
        <v>284</v>
      </c>
      <c r="H156" s="18" t="s">
        <v>71</v>
      </c>
      <c r="J156" s="18" t="s">
        <v>204</v>
      </c>
      <c r="K156" s="23"/>
      <c r="M156" s="78">
        <v>215.68600000000001</v>
      </c>
      <c r="N156" s="49">
        <v>0.5</v>
      </c>
      <c r="O156" s="38">
        <f t="shared" ref="O156" si="42">M156*(1-N156)</f>
        <v>107.843</v>
      </c>
      <c r="Q156" s="39"/>
      <c r="R156" s="40">
        <f t="shared" ref="R156" si="43">Q156*O156</f>
        <v>0</v>
      </c>
      <c r="S156" s="69"/>
    </row>
    <row r="157" spans="2:19" hidden="1" outlineLevel="1">
      <c r="B157" s="68"/>
      <c r="C157" s="22"/>
      <c r="K157" s="23"/>
      <c r="M157" s="78"/>
      <c r="N157" s="49"/>
      <c r="O157" s="38"/>
      <c r="Q157" s="39"/>
      <c r="R157" s="40"/>
      <c r="S157" s="69"/>
    </row>
    <row r="158" spans="2:19" hidden="1" outlineLevel="1">
      <c r="B158" s="68"/>
      <c r="C158" s="22"/>
      <c r="K158" s="23"/>
      <c r="M158" s="78"/>
      <c r="N158" s="49"/>
      <c r="O158" s="38"/>
      <c r="Q158" s="39"/>
      <c r="R158" s="40"/>
      <c r="S158" s="69"/>
    </row>
    <row r="159" spans="2:19" hidden="1" outlineLevel="1">
      <c r="B159" s="68"/>
      <c r="C159" s="22" t="s">
        <v>519</v>
      </c>
      <c r="D159" s="18" t="s">
        <v>260</v>
      </c>
      <c r="F159" s="18" t="s">
        <v>312</v>
      </c>
      <c r="H159" s="298" t="s">
        <v>224</v>
      </c>
      <c r="I159" s="298"/>
      <c r="J159" s="298" t="s">
        <v>402</v>
      </c>
      <c r="K159" s="23"/>
      <c r="M159" s="299">
        <v>127.845</v>
      </c>
      <c r="N159" s="300">
        <v>0.5</v>
      </c>
      <c r="O159" s="301">
        <f t="shared" ref="O159:O160" si="44">M159*(1-N159)</f>
        <v>63.922499999999999</v>
      </c>
      <c r="Q159" s="39"/>
      <c r="R159" s="40">
        <f t="shared" ref="R159:R160" si="45">Q159*O159</f>
        <v>0</v>
      </c>
      <c r="S159" s="69"/>
    </row>
    <row r="160" spans="2:19" hidden="1" outlineLevel="1">
      <c r="B160" s="68"/>
      <c r="C160" s="22" t="s">
        <v>520</v>
      </c>
      <c r="D160" s="18" t="s">
        <v>261</v>
      </c>
      <c r="F160" s="18" t="s">
        <v>313</v>
      </c>
      <c r="H160" s="298" t="s">
        <v>224</v>
      </c>
      <c r="I160" s="298"/>
      <c r="J160" s="298" t="s">
        <v>402</v>
      </c>
      <c r="K160" s="23"/>
      <c r="M160" s="299">
        <v>91.542000000000002</v>
      </c>
      <c r="N160" s="300">
        <v>0.5</v>
      </c>
      <c r="O160" s="301">
        <f t="shared" si="44"/>
        <v>45.771000000000001</v>
      </c>
      <c r="Q160" s="39"/>
      <c r="R160" s="40">
        <f t="shared" si="45"/>
        <v>0</v>
      </c>
      <c r="S160" s="69"/>
    </row>
    <row r="161" spans="2:19" hidden="1" outlineLevel="1">
      <c r="B161" s="68"/>
      <c r="C161" s="22"/>
      <c r="H161" s="298"/>
      <c r="I161" s="298"/>
      <c r="J161" s="298"/>
      <c r="K161" s="23"/>
      <c r="M161" s="299"/>
      <c r="N161" s="300"/>
      <c r="O161" s="301"/>
      <c r="Q161" s="39"/>
      <c r="R161" s="40"/>
      <c r="S161" s="69"/>
    </row>
    <row r="162" spans="2:19" hidden="1" outlineLevel="1">
      <c r="B162" s="68"/>
      <c r="C162" s="22" t="s">
        <v>521</v>
      </c>
      <c r="D162" s="18" t="s">
        <v>262</v>
      </c>
      <c r="F162" s="18" t="s">
        <v>314</v>
      </c>
      <c r="H162" s="298" t="s">
        <v>224</v>
      </c>
      <c r="I162" s="298"/>
      <c r="J162" s="298" t="s">
        <v>402</v>
      </c>
      <c r="K162" s="23"/>
      <c r="M162" s="299">
        <f>M159*0.8</f>
        <v>102.27600000000001</v>
      </c>
      <c r="N162" s="300">
        <v>0.5</v>
      </c>
      <c r="O162" s="301">
        <f t="shared" ref="O162:O163" si="46">M162*(1-N162)</f>
        <v>51.138000000000005</v>
      </c>
      <c r="Q162" s="39"/>
      <c r="R162" s="40">
        <f t="shared" ref="R162:R163" si="47">Q162*O162</f>
        <v>0</v>
      </c>
      <c r="S162" s="69"/>
    </row>
    <row r="163" spans="2:19" hidden="1" outlineLevel="1">
      <c r="B163" s="68"/>
      <c r="C163" s="22" t="s">
        <v>522</v>
      </c>
      <c r="D163" s="18" t="s">
        <v>263</v>
      </c>
      <c r="F163" s="18" t="s">
        <v>315</v>
      </c>
      <c r="H163" s="298" t="s">
        <v>224</v>
      </c>
      <c r="I163" s="298"/>
      <c r="J163" s="298" t="s">
        <v>402</v>
      </c>
      <c r="K163" s="23"/>
      <c r="M163" s="299">
        <f>M160*0.8</f>
        <v>73.23360000000001</v>
      </c>
      <c r="N163" s="300">
        <v>0.5</v>
      </c>
      <c r="O163" s="301">
        <f t="shared" si="46"/>
        <v>36.616800000000005</v>
      </c>
      <c r="Q163" s="39"/>
      <c r="R163" s="40">
        <f t="shared" si="47"/>
        <v>0</v>
      </c>
      <c r="S163" s="69"/>
    </row>
    <row r="164" spans="2:19" hidden="1" outlineLevel="1">
      <c r="B164" s="68"/>
      <c r="C164" s="22"/>
      <c r="K164" s="23"/>
      <c r="M164" s="78"/>
      <c r="N164" s="49"/>
      <c r="O164" s="38"/>
      <c r="Q164" s="39"/>
      <c r="R164" s="40"/>
      <c r="S164" s="69"/>
    </row>
    <row r="165" spans="2:19" hidden="1" outlineLevel="1">
      <c r="B165" s="68"/>
      <c r="C165" s="22"/>
      <c r="K165" s="23"/>
      <c r="M165" s="78"/>
      <c r="N165" s="49"/>
      <c r="O165" s="38"/>
      <c r="Q165" s="39"/>
      <c r="R165" s="40"/>
      <c r="S165" s="69"/>
    </row>
    <row r="166" spans="2:19" hidden="1" outlineLevel="1">
      <c r="B166" s="68"/>
      <c r="C166" s="74"/>
      <c r="D166" s="75"/>
      <c r="E166" s="75"/>
      <c r="F166" s="75"/>
      <c r="G166" s="75"/>
      <c r="H166" s="75"/>
      <c r="I166" s="75"/>
      <c r="J166" s="75"/>
      <c r="K166" s="76"/>
      <c r="M166" s="79"/>
      <c r="N166" s="50"/>
      <c r="O166" s="81"/>
      <c r="Q166" s="83"/>
      <c r="R166" s="41"/>
      <c r="S166" s="69"/>
    </row>
    <row r="167" spans="2:19" ht="12.75" customHeight="1" collapsed="1">
      <c r="B167" s="68"/>
      <c r="S167" s="69"/>
    </row>
    <row r="168" spans="2:19">
      <c r="B168" s="68"/>
      <c r="H168" s="10"/>
      <c r="I168" s="10"/>
      <c r="K168" s="10"/>
      <c r="S168" s="69"/>
    </row>
    <row r="169" spans="2:19">
      <c r="B169" s="68"/>
      <c r="C169" s="146"/>
      <c r="D169" s="269" t="s">
        <v>430</v>
      </c>
      <c r="E169" s="147"/>
      <c r="F169" s="269" t="s">
        <v>243</v>
      </c>
      <c r="G169" s="147"/>
      <c r="H169" s="147"/>
      <c r="I169" s="147"/>
      <c r="J169" s="147"/>
      <c r="K169" s="148"/>
      <c r="M169" s="555"/>
      <c r="N169" s="556"/>
      <c r="O169" s="557"/>
      <c r="Q169" s="149"/>
      <c r="R169" s="150">
        <f>R170+R188+R194</f>
        <v>0</v>
      </c>
      <c r="S169" s="69"/>
    </row>
    <row r="170" spans="2:19">
      <c r="B170" s="68"/>
      <c r="C170" s="305"/>
      <c r="D170" s="303" t="s">
        <v>431</v>
      </c>
      <c r="E170" s="303"/>
      <c r="F170" s="303" t="s">
        <v>241</v>
      </c>
      <c r="G170" s="303"/>
      <c r="H170" s="303"/>
      <c r="I170" s="303"/>
      <c r="J170" s="303"/>
      <c r="K170" s="306"/>
      <c r="M170" s="558"/>
      <c r="N170" s="559"/>
      <c r="O170" s="560"/>
      <c r="Q170" s="307"/>
      <c r="R170" s="308">
        <f>SUM(R171:R187)</f>
        <v>0</v>
      </c>
      <c r="S170" s="69"/>
    </row>
    <row r="171" spans="2:19" hidden="1" outlineLevel="1">
      <c r="B171" s="68"/>
      <c r="C171" s="87" t="s">
        <v>523</v>
      </c>
      <c r="D171" s="18" t="s">
        <v>110</v>
      </c>
      <c r="F171" s="18" t="s">
        <v>112</v>
      </c>
      <c r="H171" s="18" t="s">
        <v>114</v>
      </c>
      <c r="J171" s="18" t="s">
        <v>115</v>
      </c>
      <c r="K171" s="88"/>
      <c r="M171" s="94">
        <v>0.84499999999999997</v>
      </c>
      <c r="N171" s="49">
        <v>0.3</v>
      </c>
      <c r="O171" s="38">
        <f t="shared" ref="O171:O185" si="48">M171*(1-N171)</f>
        <v>0.59149999999999991</v>
      </c>
      <c r="Q171" s="39"/>
      <c r="R171" s="40">
        <f t="shared" ref="R171:R177" si="49">Q171*O171</f>
        <v>0</v>
      </c>
      <c r="S171" s="69"/>
    </row>
    <row r="172" spans="2:19" hidden="1" outlineLevel="1">
      <c r="B172" s="68"/>
      <c r="C172" s="87" t="s">
        <v>524</v>
      </c>
      <c r="D172" s="18" t="s">
        <v>111</v>
      </c>
      <c r="F172" s="18" t="s">
        <v>113</v>
      </c>
      <c r="H172" s="18" t="s">
        <v>114</v>
      </c>
      <c r="J172" s="18" t="s">
        <v>115</v>
      </c>
      <c r="K172" s="88"/>
      <c r="M172" s="94">
        <v>0.35199999999999998</v>
      </c>
      <c r="N172" s="49">
        <v>0.3</v>
      </c>
      <c r="O172" s="38">
        <f t="shared" si="48"/>
        <v>0.24639999999999998</v>
      </c>
      <c r="Q172" s="39"/>
      <c r="R172" s="40">
        <f t="shared" si="49"/>
        <v>0</v>
      </c>
      <c r="S172" s="69"/>
    </row>
    <row r="173" spans="2:19" hidden="1" outlineLevel="1">
      <c r="B173" s="68"/>
      <c r="C173" s="87" t="s">
        <v>525</v>
      </c>
      <c r="D173" s="18" t="s">
        <v>116</v>
      </c>
      <c r="F173" s="18" t="s">
        <v>140</v>
      </c>
      <c r="H173" s="18" t="s">
        <v>117</v>
      </c>
      <c r="J173" s="18" t="s">
        <v>118</v>
      </c>
      <c r="K173" s="88"/>
      <c r="M173" s="94">
        <v>650</v>
      </c>
      <c r="N173" s="49">
        <v>0.3</v>
      </c>
      <c r="O173" s="38">
        <f t="shared" si="48"/>
        <v>454.99999999999994</v>
      </c>
      <c r="Q173" s="39"/>
      <c r="R173" s="40">
        <f t="shared" si="49"/>
        <v>0</v>
      </c>
      <c r="S173" s="69"/>
    </row>
    <row r="174" spans="2:19" hidden="1" outlineLevel="1">
      <c r="B174" s="68"/>
      <c r="C174" s="87" t="s">
        <v>526</v>
      </c>
      <c r="D174" s="18" t="s">
        <v>138</v>
      </c>
      <c r="F174" s="18" t="s">
        <v>139</v>
      </c>
      <c r="H174" s="18" t="s">
        <v>117</v>
      </c>
      <c r="J174" s="18" t="s">
        <v>118</v>
      </c>
      <c r="K174" s="88"/>
      <c r="M174" s="94">
        <v>1200</v>
      </c>
      <c r="N174" s="49">
        <v>0.3</v>
      </c>
      <c r="O174" s="38">
        <f t="shared" si="48"/>
        <v>840</v>
      </c>
      <c r="Q174" s="39"/>
      <c r="R174" s="40">
        <f t="shared" si="49"/>
        <v>0</v>
      </c>
      <c r="S174" s="69"/>
    </row>
    <row r="175" spans="2:19" hidden="1" outlineLevel="1">
      <c r="B175" s="68"/>
      <c r="C175" s="87" t="s">
        <v>527</v>
      </c>
      <c r="D175" s="18" t="s">
        <v>543</v>
      </c>
      <c r="F175" s="18" t="s">
        <v>122</v>
      </c>
      <c r="H175" s="18" t="s">
        <v>123</v>
      </c>
      <c r="J175" s="18" t="s">
        <v>121</v>
      </c>
      <c r="K175" s="88"/>
      <c r="M175" s="94">
        <v>840</v>
      </c>
      <c r="N175" s="49">
        <v>0.3</v>
      </c>
      <c r="O175" s="38">
        <f t="shared" si="48"/>
        <v>588</v>
      </c>
      <c r="Q175" s="39"/>
      <c r="R175" s="40">
        <f t="shared" si="49"/>
        <v>0</v>
      </c>
      <c r="S175" s="69"/>
    </row>
    <row r="176" spans="2:19" hidden="1" outlineLevel="1">
      <c r="B176" s="68"/>
      <c r="C176" s="87" t="s">
        <v>528</v>
      </c>
      <c r="D176" s="18" t="s">
        <v>544</v>
      </c>
      <c r="F176" s="18" t="s">
        <v>137</v>
      </c>
      <c r="H176" s="18" t="s">
        <v>123</v>
      </c>
      <c r="J176" s="18" t="s">
        <v>121</v>
      </c>
      <c r="K176" s="88"/>
      <c r="M176" s="94">
        <v>1620</v>
      </c>
      <c r="N176" s="49">
        <v>0.3</v>
      </c>
      <c r="O176" s="38">
        <f t="shared" si="48"/>
        <v>1134</v>
      </c>
      <c r="Q176" s="39"/>
      <c r="R176" s="40">
        <f t="shared" si="49"/>
        <v>0</v>
      </c>
      <c r="S176" s="69"/>
    </row>
    <row r="177" spans="2:19" hidden="1" outlineLevel="1">
      <c r="B177" s="68"/>
      <c r="C177" s="87" t="s">
        <v>529</v>
      </c>
      <c r="D177" s="18" t="s">
        <v>119</v>
      </c>
      <c r="F177" s="18" t="s">
        <v>120</v>
      </c>
      <c r="H177" s="18" t="s">
        <v>123</v>
      </c>
      <c r="J177" s="18" t="s">
        <v>121</v>
      </c>
      <c r="K177" s="88"/>
      <c r="M177" s="94">
        <v>2430</v>
      </c>
      <c r="N177" s="49">
        <v>0.3</v>
      </c>
      <c r="O177" s="38">
        <f t="shared" si="48"/>
        <v>1701</v>
      </c>
      <c r="Q177" s="39"/>
      <c r="R177" s="40">
        <f t="shared" si="49"/>
        <v>0</v>
      </c>
      <c r="S177" s="69"/>
    </row>
    <row r="178" spans="2:19" hidden="1" outlineLevel="1">
      <c r="B178" s="68"/>
      <c r="C178" s="87"/>
      <c r="K178" s="88"/>
      <c r="M178" s="94"/>
      <c r="N178" s="49"/>
      <c r="O178" s="38"/>
      <c r="Q178" s="39"/>
      <c r="R178" s="40"/>
      <c r="S178" s="69"/>
    </row>
    <row r="179" spans="2:19" hidden="1" outlineLevel="1">
      <c r="B179" s="68"/>
      <c r="C179" s="87" t="s">
        <v>530</v>
      </c>
      <c r="D179" s="18" t="s">
        <v>125</v>
      </c>
      <c r="F179" s="18" t="s">
        <v>126</v>
      </c>
      <c r="H179" s="18" t="s">
        <v>81</v>
      </c>
      <c r="J179" s="18" t="s">
        <v>82</v>
      </c>
      <c r="K179" s="88"/>
      <c r="M179" s="94">
        <v>8.548</v>
      </c>
      <c r="N179" s="49">
        <v>0.3</v>
      </c>
      <c r="O179" s="38">
        <f t="shared" si="48"/>
        <v>5.9836</v>
      </c>
      <c r="Q179" s="39"/>
      <c r="R179" s="40">
        <f t="shared" ref="R179:R181" si="50">Q179*O179</f>
        <v>0</v>
      </c>
      <c r="S179" s="69"/>
    </row>
    <row r="180" spans="2:19" hidden="1" outlineLevel="1">
      <c r="B180" s="68"/>
      <c r="C180" s="87" t="s">
        <v>531</v>
      </c>
      <c r="D180" s="18" t="s">
        <v>124</v>
      </c>
      <c r="F180" s="18" t="s">
        <v>127</v>
      </c>
      <c r="H180" s="18" t="s">
        <v>81</v>
      </c>
      <c r="J180" s="18" t="s">
        <v>82</v>
      </c>
      <c r="K180" s="88"/>
      <c r="M180" s="94">
        <v>2.4539999999999997</v>
      </c>
      <c r="N180" s="49">
        <v>0.3</v>
      </c>
      <c r="O180" s="38">
        <f t="shared" si="48"/>
        <v>1.7177999999999998</v>
      </c>
      <c r="Q180" s="39"/>
      <c r="R180" s="40">
        <f t="shared" si="50"/>
        <v>0</v>
      </c>
      <c r="S180" s="69"/>
    </row>
    <row r="181" spans="2:19" hidden="1" outlineLevel="1">
      <c r="B181" s="68"/>
      <c r="C181" s="87" t="s">
        <v>532</v>
      </c>
      <c r="D181" s="18" t="s">
        <v>545</v>
      </c>
      <c r="F181" s="18" t="s">
        <v>131</v>
      </c>
      <c r="H181" s="18" t="s">
        <v>65</v>
      </c>
      <c r="J181" s="18" t="s">
        <v>18</v>
      </c>
      <c r="K181" s="88"/>
      <c r="M181" s="94">
        <v>15.589</v>
      </c>
      <c r="N181" s="49">
        <v>0.3</v>
      </c>
      <c r="O181" s="38">
        <f t="shared" si="48"/>
        <v>10.9123</v>
      </c>
      <c r="Q181" s="39"/>
      <c r="R181" s="40">
        <f t="shared" si="50"/>
        <v>0</v>
      </c>
      <c r="S181" s="69"/>
    </row>
    <row r="182" spans="2:19" hidden="1" outlineLevel="1">
      <c r="B182" s="68"/>
      <c r="C182" s="87"/>
      <c r="K182" s="88"/>
      <c r="M182" s="94"/>
      <c r="N182" s="49"/>
      <c r="O182" s="38"/>
      <c r="Q182" s="39"/>
      <c r="R182" s="40"/>
      <c r="S182" s="69"/>
    </row>
    <row r="183" spans="2:19" hidden="1" outlineLevel="1">
      <c r="B183" s="68"/>
      <c r="C183" s="87" t="s">
        <v>533</v>
      </c>
      <c r="D183" s="18" t="s">
        <v>130</v>
      </c>
      <c r="F183" s="18" t="s">
        <v>134</v>
      </c>
      <c r="H183" s="18" t="s">
        <v>129</v>
      </c>
      <c r="J183" s="18" t="s">
        <v>128</v>
      </c>
      <c r="K183" s="88"/>
      <c r="M183" s="94">
        <v>547.84899999999993</v>
      </c>
      <c r="N183" s="49">
        <v>0.3</v>
      </c>
      <c r="O183" s="38">
        <f t="shared" si="48"/>
        <v>383.49429999999995</v>
      </c>
      <c r="Q183" s="39"/>
      <c r="R183" s="40">
        <f t="shared" ref="R183:R185" si="51">Q183*O183</f>
        <v>0</v>
      </c>
      <c r="S183" s="69"/>
    </row>
    <row r="184" spans="2:19" hidden="1" outlineLevel="1">
      <c r="B184" s="68"/>
      <c r="C184" s="87" t="s">
        <v>534</v>
      </c>
      <c r="D184" s="18" t="s">
        <v>142</v>
      </c>
      <c r="F184" s="18" t="s">
        <v>135</v>
      </c>
      <c r="H184" s="18" t="s">
        <v>132</v>
      </c>
      <c r="J184" s="18" t="s">
        <v>133</v>
      </c>
      <c r="K184" s="88"/>
      <c r="M184" s="94">
        <v>127.845</v>
      </c>
      <c r="N184" s="49">
        <v>0.3</v>
      </c>
      <c r="O184" s="38">
        <f t="shared" si="48"/>
        <v>89.491499999999988</v>
      </c>
      <c r="Q184" s="39"/>
      <c r="R184" s="40">
        <f t="shared" si="51"/>
        <v>0</v>
      </c>
      <c r="S184" s="69"/>
    </row>
    <row r="185" spans="2:19" hidden="1" outlineLevel="1">
      <c r="B185" s="68"/>
      <c r="C185" s="87" t="s">
        <v>535</v>
      </c>
      <c r="D185" s="18" t="s">
        <v>141</v>
      </c>
      <c r="F185" s="18" t="s">
        <v>136</v>
      </c>
      <c r="H185" s="18" t="s">
        <v>132</v>
      </c>
      <c r="J185" s="18" t="s">
        <v>133</v>
      </c>
      <c r="K185" s="88"/>
      <c r="M185" s="94">
        <v>91.542000000000002</v>
      </c>
      <c r="N185" s="49">
        <v>0.3</v>
      </c>
      <c r="O185" s="38">
        <f t="shared" si="48"/>
        <v>64.079399999999993</v>
      </c>
      <c r="Q185" s="39"/>
      <c r="R185" s="40">
        <f t="shared" si="51"/>
        <v>0</v>
      </c>
      <c r="S185" s="69"/>
    </row>
    <row r="186" spans="2:19" hidden="1" outlineLevel="1">
      <c r="B186" s="68"/>
      <c r="C186" s="87"/>
      <c r="K186" s="88"/>
      <c r="M186" s="94"/>
      <c r="N186" s="49"/>
      <c r="O186" s="38"/>
      <c r="Q186" s="39"/>
      <c r="R186" s="40"/>
      <c r="S186" s="69"/>
    </row>
    <row r="187" spans="2:19" hidden="1" outlineLevel="1">
      <c r="B187" s="68"/>
      <c r="C187" s="87"/>
      <c r="K187" s="88"/>
      <c r="M187" s="78"/>
      <c r="N187" s="49"/>
      <c r="O187" s="38"/>
      <c r="Q187" s="39"/>
      <c r="R187" s="40"/>
      <c r="S187" s="69"/>
    </row>
    <row r="188" spans="2:19" ht="12.75" customHeight="1" collapsed="1">
      <c r="B188" s="68"/>
      <c r="C188" s="312"/>
      <c r="D188" s="313" t="s">
        <v>432</v>
      </c>
      <c r="E188" s="313"/>
      <c r="F188" s="313" t="s">
        <v>242</v>
      </c>
      <c r="G188" s="313"/>
      <c r="H188" s="313"/>
      <c r="I188" s="313"/>
      <c r="J188" s="313"/>
      <c r="K188" s="314"/>
      <c r="M188" s="552"/>
      <c r="N188" s="553"/>
      <c r="O188" s="554"/>
      <c r="Q188" s="307"/>
      <c r="R188" s="308">
        <f>SUM(R189:R193)</f>
        <v>0</v>
      </c>
      <c r="S188" s="69"/>
    </row>
    <row r="189" spans="2:19" hidden="1" outlineLevel="1">
      <c r="B189" s="68"/>
      <c r="C189" s="87"/>
      <c r="E189" s="18" t="s">
        <v>233</v>
      </c>
      <c r="K189" s="88"/>
      <c r="M189" s="78"/>
      <c r="N189" s="49"/>
      <c r="O189" s="38"/>
      <c r="Q189" s="39"/>
      <c r="R189" s="40"/>
      <c r="S189" s="69"/>
    </row>
    <row r="190" spans="2:19" hidden="1" outlineLevel="1">
      <c r="B190" s="68"/>
      <c r="C190" s="87" t="s">
        <v>536</v>
      </c>
      <c r="D190" s="18" t="s">
        <v>416</v>
      </c>
      <c r="F190" s="152" t="s">
        <v>268</v>
      </c>
      <c r="H190" s="298" t="s">
        <v>271</v>
      </c>
      <c r="I190" s="298"/>
      <c r="J190" s="298" t="s">
        <v>408</v>
      </c>
      <c r="K190" s="88"/>
      <c r="M190" s="78"/>
      <c r="N190" s="49"/>
      <c r="O190" s="38"/>
      <c r="Q190" s="39"/>
      <c r="R190" s="40">
        <f t="shared" ref="R190:R192" si="52">Q190*O190</f>
        <v>0</v>
      </c>
      <c r="S190" s="69"/>
    </row>
    <row r="191" spans="2:19" hidden="1" outlineLevel="1">
      <c r="B191" s="68"/>
      <c r="C191" s="87" t="s">
        <v>537</v>
      </c>
      <c r="D191" s="18" t="s">
        <v>417</v>
      </c>
      <c r="F191" s="152" t="s">
        <v>269</v>
      </c>
      <c r="H191" s="298" t="s">
        <v>271</v>
      </c>
      <c r="I191" s="298"/>
      <c r="J191" s="298" t="s">
        <v>408</v>
      </c>
      <c r="K191" s="88"/>
      <c r="M191" s="94"/>
      <c r="N191" s="49"/>
      <c r="O191" s="38"/>
      <c r="Q191" s="39"/>
      <c r="R191" s="40">
        <f t="shared" si="52"/>
        <v>0</v>
      </c>
      <c r="S191" s="69"/>
    </row>
    <row r="192" spans="2:19" hidden="1" outlineLevel="1">
      <c r="B192" s="68"/>
      <c r="C192" s="87" t="s">
        <v>538</v>
      </c>
      <c r="D192" s="18" t="s">
        <v>270</v>
      </c>
      <c r="F192" s="152" t="s">
        <v>270</v>
      </c>
      <c r="H192" s="298" t="s">
        <v>271</v>
      </c>
      <c r="I192" s="298"/>
      <c r="J192" s="298" t="s">
        <v>408</v>
      </c>
      <c r="K192" s="88"/>
      <c r="M192" s="94"/>
      <c r="N192" s="49"/>
      <c r="O192" s="38"/>
      <c r="Q192" s="39"/>
      <c r="R192" s="40">
        <f t="shared" si="52"/>
        <v>0</v>
      </c>
      <c r="S192" s="69"/>
    </row>
    <row r="193" spans="2:19" hidden="1" outlineLevel="1">
      <c r="B193" s="68"/>
      <c r="C193" s="87"/>
      <c r="K193" s="88"/>
      <c r="M193" s="79"/>
      <c r="N193" s="50"/>
      <c r="O193" s="81"/>
      <c r="Q193" s="83"/>
      <c r="R193" s="41"/>
      <c r="S193" s="69"/>
    </row>
    <row r="194" spans="2:19" collapsed="1">
      <c r="B194" s="68"/>
      <c r="C194" s="312"/>
      <c r="D194" s="313" t="s">
        <v>433</v>
      </c>
      <c r="E194" s="313"/>
      <c r="F194" s="313" t="s">
        <v>244</v>
      </c>
      <c r="G194" s="313"/>
      <c r="H194" s="313"/>
      <c r="I194" s="313"/>
      <c r="J194" s="313"/>
      <c r="K194" s="314"/>
      <c r="M194" s="552"/>
      <c r="N194" s="553"/>
      <c r="O194" s="554"/>
      <c r="Q194" s="307"/>
      <c r="R194" s="308">
        <f>SUM(R195:R199)</f>
        <v>0</v>
      </c>
      <c r="S194" s="69"/>
    </row>
    <row r="195" spans="2:19" hidden="1" outlineLevel="1">
      <c r="B195" s="68"/>
      <c r="C195" s="87" t="s">
        <v>539</v>
      </c>
      <c r="D195" s="116" t="s">
        <v>265</v>
      </c>
      <c r="F195" s="116" t="s">
        <v>267</v>
      </c>
      <c r="H195" s="18" t="s">
        <v>266</v>
      </c>
      <c r="J195" s="18" t="s">
        <v>316</v>
      </c>
      <c r="K195" s="88"/>
      <c r="M195" s="78"/>
      <c r="N195" s="49"/>
      <c r="O195" s="302">
        <v>0.5</v>
      </c>
      <c r="Q195" s="39"/>
      <c r="R195" s="40">
        <f t="shared" ref="R195" si="53">Q195*O195</f>
        <v>0</v>
      </c>
      <c r="S195" s="69"/>
    </row>
    <row r="196" spans="2:19" hidden="1" outlineLevel="1">
      <c r="B196" s="68"/>
      <c r="C196" s="87"/>
      <c r="D196" s="116"/>
      <c r="F196" s="116"/>
      <c r="K196" s="88"/>
      <c r="M196" s="78"/>
      <c r="N196" s="49"/>
      <c r="O196" s="38"/>
      <c r="Q196" s="39"/>
      <c r="R196" s="40"/>
      <c r="S196" s="69"/>
    </row>
    <row r="197" spans="2:19" hidden="1" outlineLevel="1">
      <c r="B197" s="68"/>
      <c r="C197" s="87"/>
      <c r="K197" s="88"/>
      <c r="M197" s="78"/>
      <c r="N197" s="49"/>
      <c r="O197" s="38"/>
      <c r="Q197" s="39"/>
      <c r="R197" s="40"/>
      <c r="S197" s="69"/>
    </row>
    <row r="198" spans="2:19" hidden="1" outlineLevel="1">
      <c r="B198" s="68"/>
      <c r="C198" s="87"/>
      <c r="K198" s="88"/>
      <c r="M198" s="78"/>
      <c r="N198" s="49"/>
      <c r="O198" s="38"/>
      <c r="Q198" s="39"/>
      <c r="R198" s="40"/>
      <c r="S198" s="69"/>
    </row>
    <row r="199" spans="2:19" hidden="1" outlineLevel="1">
      <c r="B199" s="68"/>
      <c r="C199" s="89"/>
      <c r="D199" s="90"/>
      <c r="E199" s="90"/>
      <c r="F199" s="90"/>
      <c r="G199" s="90"/>
      <c r="H199" s="90"/>
      <c r="I199" s="90"/>
      <c r="J199" s="90"/>
      <c r="K199" s="91"/>
      <c r="M199" s="79"/>
      <c r="N199" s="50"/>
      <c r="O199" s="81"/>
      <c r="Q199" s="83"/>
      <c r="R199" s="41"/>
      <c r="S199" s="69"/>
    </row>
    <row r="200" spans="2:19" collapsed="1">
      <c r="B200" s="68"/>
      <c r="S200" s="69"/>
    </row>
    <row r="201" spans="2:19">
      <c r="B201" s="68"/>
      <c r="D201" s="18" t="s">
        <v>234</v>
      </c>
      <c r="S201" s="69"/>
    </row>
    <row r="202" spans="2:19" ht="12.75" thickBot="1">
      <c r="B202" s="68"/>
      <c r="S202" s="69"/>
    </row>
    <row r="203" spans="2:19" ht="12.75" thickTop="1">
      <c r="B203" s="1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3"/>
      <c r="N203" s="46"/>
      <c r="O203" s="3"/>
      <c r="P203" s="2"/>
      <c r="Q203" s="4"/>
      <c r="R203" s="31"/>
      <c r="S203" s="5"/>
    </row>
    <row r="204" spans="2:19">
      <c r="B204" s="68"/>
      <c r="C204" s="84" t="str">
        <f>[1]Providers!C74</f>
        <v>TEMPLATE: "QUOTE_D_0121"</v>
      </c>
      <c r="M204" s="28" t="str">
        <f>[1]Providers!I74</f>
        <v>WRITTEN: DK</v>
      </c>
      <c r="N204" s="54"/>
      <c r="O204" s="38"/>
      <c r="P204" s="52" t="str">
        <f>[1]Providers!K74</f>
        <v>LAST MODIF: 10/10/2014</v>
      </c>
      <c r="Q204" s="55"/>
      <c r="R204" s="53"/>
      <c r="S204" s="69"/>
    </row>
    <row r="205" spans="2:19" ht="12.75" thickBot="1">
      <c r="B205" s="11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3"/>
      <c r="N205" s="51"/>
      <c r="O205" s="13"/>
      <c r="P205" s="12"/>
      <c r="Q205" s="14"/>
      <c r="R205" s="42"/>
      <c r="S205" s="15"/>
    </row>
    <row r="206" spans="2:19" ht="12.75" thickTop="1"/>
  </sheetData>
  <mergeCells count="14">
    <mergeCell ref="M188:O188"/>
    <mergeCell ref="M194:O194"/>
    <mergeCell ref="M89:O89"/>
    <mergeCell ref="M90:O90"/>
    <mergeCell ref="M97:O97"/>
    <mergeCell ref="M142:O142"/>
    <mergeCell ref="M169:O169"/>
    <mergeCell ref="M170:O170"/>
    <mergeCell ref="M62:O62"/>
    <mergeCell ref="M7:O7"/>
    <mergeCell ref="Q7:R7"/>
    <mergeCell ref="M10:O10"/>
    <mergeCell ref="M11:O11"/>
    <mergeCell ref="M31:O3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showGridLines="0" zoomScaleNormal="100" workbookViewId="0"/>
  </sheetViews>
  <sheetFormatPr defaultColWidth="9.140625" defaultRowHeight="12" outlineLevelRow="1" outlineLevelCol="1"/>
  <cols>
    <col min="1" max="1" width="3" style="18" customWidth="1"/>
    <col min="2" max="2" width="3.28515625" style="18" customWidth="1"/>
    <col min="3" max="3" width="1.85546875" style="18" customWidth="1"/>
    <col min="4" max="4" width="50.5703125" style="18" hidden="1" customWidth="1" outlineLevel="1"/>
    <col min="5" max="5" width="2.140625" style="18" hidden="1" customWidth="1" collapsed="1"/>
    <col min="6" max="6" width="38.140625" style="18" customWidth="1" outlineLevel="1"/>
    <col min="7" max="7" width="2.140625" style="18" customWidth="1"/>
    <col min="8" max="8" width="14.5703125" style="18" customWidth="1" outlineLevel="1"/>
    <col min="9" max="9" width="2.140625" style="18" customWidth="1"/>
    <col min="10" max="10" width="3.140625" style="18" hidden="1" customWidth="1" outlineLevel="1"/>
    <col min="11" max="11" width="3.7109375" style="18" customWidth="1" collapsed="1"/>
    <col min="12" max="12" width="3.28515625" style="18" hidden="1" customWidth="1"/>
    <col min="13" max="13" width="14.28515625" style="384" customWidth="1"/>
    <col min="14" max="14" width="10" style="45" hidden="1" customWidth="1"/>
    <col min="15" max="15" width="5.28515625" style="7" hidden="1" customWidth="1"/>
    <col min="16" max="16" width="3.28515625" style="18" customWidth="1"/>
    <col min="17" max="17" width="9.85546875" style="8" hidden="1" customWidth="1"/>
    <col min="18" max="18" width="10.85546875" style="24" hidden="1" customWidth="1"/>
    <col min="19" max="19" width="0.28515625" style="18" customWidth="1"/>
    <col min="20" max="20" width="3.28515625" style="18" customWidth="1"/>
    <col min="21" max="21" width="12.7109375" style="18" bestFit="1" customWidth="1"/>
    <col min="22" max="16384" width="9.140625" style="18"/>
  </cols>
  <sheetData>
    <row r="1" spans="1:19" ht="12.75" thickBot="1">
      <c r="A1" s="16"/>
    </row>
    <row r="2" spans="1:19" ht="12.75" thickTop="1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85"/>
      <c r="N2" s="46"/>
      <c r="O2" s="3"/>
      <c r="P2" s="2"/>
      <c r="Q2" s="4"/>
      <c r="R2" s="31"/>
      <c r="S2" s="5"/>
    </row>
    <row r="3" spans="1:19">
      <c r="B3" s="68"/>
      <c r="O3" s="18"/>
      <c r="Q3" s="18"/>
      <c r="R3" s="18"/>
      <c r="S3" s="69"/>
    </row>
    <row r="4" spans="1:19">
      <c r="B4" s="68"/>
      <c r="O4" s="18"/>
      <c r="Q4" s="18"/>
      <c r="S4" s="69"/>
    </row>
    <row r="5" spans="1:19" ht="12.75" thickBot="1">
      <c r="B5" s="68"/>
      <c r="S5" s="69"/>
    </row>
    <row r="6" spans="1:19" ht="12.75" thickTop="1"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385"/>
      <c r="N6" s="46"/>
      <c r="O6" s="3"/>
      <c r="P6" s="2"/>
      <c r="Q6" s="4"/>
      <c r="R6" s="31"/>
      <c r="S6" s="5"/>
    </row>
    <row r="7" spans="1:19" ht="24">
      <c r="B7" s="68"/>
      <c r="C7" s="28"/>
      <c r="D7" s="70" t="s">
        <v>2</v>
      </c>
      <c r="E7" s="70"/>
      <c r="F7" s="70" t="s">
        <v>67</v>
      </c>
      <c r="G7" s="58"/>
      <c r="H7" s="58"/>
      <c r="I7" s="58"/>
      <c r="J7" s="58"/>
      <c r="K7" s="43"/>
      <c r="M7" s="381" t="s">
        <v>546</v>
      </c>
      <c r="N7" s="29"/>
      <c r="O7" s="29" t="s">
        <v>1</v>
      </c>
      <c r="Q7" s="540" t="e">
        <f>#REF!</f>
        <v>#REF!</v>
      </c>
      <c r="R7" s="542"/>
      <c r="S7" s="69"/>
    </row>
    <row r="8" spans="1:19" s="9" customFormat="1">
      <c r="B8" s="32"/>
      <c r="C8" s="30"/>
      <c r="D8" s="70" t="s">
        <v>3</v>
      </c>
      <c r="E8" s="70"/>
      <c r="F8" s="70" t="s">
        <v>68</v>
      </c>
      <c r="G8" s="70"/>
      <c r="H8" s="70" t="s">
        <v>30</v>
      </c>
      <c r="I8" s="70"/>
      <c r="J8" s="70" t="s">
        <v>5</v>
      </c>
      <c r="K8" s="33"/>
      <c r="M8" s="390"/>
      <c r="N8" s="47" t="s">
        <v>8</v>
      </c>
      <c r="O8" s="29" t="s">
        <v>9</v>
      </c>
      <c r="Q8" s="35" t="s">
        <v>10</v>
      </c>
      <c r="R8" s="44" t="s">
        <v>11</v>
      </c>
      <c r="S8" s="36"/>
    </row>
    <row r="9" spans="1:19" hidden="1">
      <c r="B9" s="68"/>
      <c r="C9" s="315"/>
      <c r="D9" s="316" t="s">
        <v>272</v>
      </c>
      <c r="E9" s="317"/>
      <c r="F9" s="316" t="s">
        <v>272</v>
      </c>
      <c r="G9" s="317"/>
      <c r="H9" s="317"/>
      <c r="I9" s="317"/>
      <c r="J9" s="317"/>
      <c r="K9" s="318"/>
      <c r="M9" s="561"/>
      <c r="N9" s="562"/>
      <c r="O9" s="563"/>
      <c r="Q9" s="319"/>
      <c r="R9" s="320">
        <f>SUM(R11:R12)</f>
        <v>0</v>
      </c>
      <c r="S9" s="69"/>
    </row>
    <row r="10" spans="1:19" hidden="1">
      <c r="B10" s="68"/>
      <c r="C10" s="321"/>
      <c r="D10" s="322"/>
      <c r="E10" s="322"/>
      <c r="F10" s="322"/>
      <c r="G10" s="322"/>
      <c r="H10" s="322"/>
      <c r="I10" s="322"/>
      <c r="J10" s="322"/>
      <c r="K10" s="323"/>
      <c r="M10" s="564"/>
      <c r="N10" s="565"/>
      <c r="O10" s="566"/>
      <c r="Q10" s="324"/>
      <c r="R10" s="325"/>
      <c r="S10" s="69"/>
    </row>
    <row r="11" spans="1:19" hidden="1" outlineLevel="1">
      <c r="B11" s="68"/>
      <c r="C11" s="22"/>
      <c r="D11" s="18" t="s">
        <v>273</v>
      </c>
      <c r="F11" s="18" t="s">
        <v>418</v>
      </c>
      <c r="H11" s="18" t="s">
        <v>271</v>
      </c>
      <c r="J11" s="18" t="s">
        <v>408</v>
      </c>
      <c r="K11" s="23"/>
      <c r="M11" s="386"/>
      <c r="N11" s="49"/>
      <c r="O11" s="38"/>
      <c r="Q11" s="39"/>
      <c r="R11" s="40">
        <f t="shared" ref="R11" si="0">Q11*O11</f>
        <v>0</v>
      </c>
      <c r="S11" s="69"/>
    </row>
    <row r="12" spans="1:19" hidden="1" outlineLevel="1">
      <c r="B12" s="68"/>
      <c r="C12" s="74"/>
      <c r="D12" s="75"/>
      <c r="E12" s="75"/>
      <c r="F12" s="75"/>
      <c r="G12" s="75"/>
      <c r="H12" s="75"/>
      <c r="I12" s="75"/>
      <c r="J12" s="75"/>
      <c r="K12" s="76"/>
      <c r="M12" s="387"/>
      <c r="N12" s="50"/>
      <c r="O12" s="81"/>
      <c r="Q12" s="83"/>
      <c r="R12" s="41"/>
      <c r="S12" s="69"/>
    </row>
    <row r="13" spans="1:19" hidden="1">
      <c r="B13" s="68"/>
      <c r="S13" s="69"/>
    </row>
    <row r="14" spans="1:19" hidden="1">
      <c r="B14" s="68"/>
      <c r="C14" s="315"/>
      <c r="D14" s="316" t="s">
        <v>277</v>
      </c>
      <c r="E14" s="317"/>
      <c r="F14" s="316" t="s">
        <v>277</v>
      </c>
      <c r="G14" s="317"/>
      <c r="H14" s="317"/>
      <c r="I14" s="317"/>
      <c r="J14" s="317"/>
      <c r="K14" s="318"/>
      <c r="M14" s="561"/>
      <c r="N14" s="562"/>
      <c r="O14" s="563"/>
      <c r="Q14" s="319"/>
      <c r="R14" s="320">
        <f>SUM(R16:R17)</f>
        <v>0</v>
      </c>
      <c r="S14" s="69"/>
    </row>
    <row r="15" spans="1:19" hidden="1">
      <c r="B15" s="68"/>
      <c r="C15" s="321"/>
      <c r="D15" s="322"/>
      <c r="E15" s="322"/>
      <c r="F15" s="322"/>
      <c r="G15" s="322"/>
      <c r="H15" s="322"/>
      <c r="I15" s="322"/>
      <c r="J15" s="322"/>
      <c r="K15" s="323"/>
      <c r="M15" s="564"/>
      <c r="N15" s="565"/>
      <c r="O15" s="566"/>
      <c r="Q15" s="324"/>
      <c r="R15" s="325"/>
      <c r="S15" s="69"/>
    </row>
    <row r="16" spans="1:19" hidden="1" outlineLevel="1">
      <c r="B16" s="68"/>
      <c r="C16" s="22"/>
      <c r="D16" s="18" t="s">
        <v>274</v>
      </c>
      <c r="F16" s="18" t="s">
        <v>274</v>
      </c>
      <c r="H16" s="18" t="s">
        <v>271</v>
      </c>
      <c r="J16" s="18" t="s">
        <v>408</v>
      </c>
      <c r="K16" s="23"/>
      <c r="M16" s="386"/>
      <c r="N16" s="49"/>
      <c r="O16" s="38"/>
      <c r="Q16" s="39"/>
      <c r="R16" s="40">
        <f t="shared" ref="R16" si="1">Q16*O16</f>
        <v>0</v>
      </c>
      <c r="S16" s="69"/>
    </row>
    <row r="17" spans="2:19" hidden="1" outlineLevel="1">
      <c r="B17" s="68"/>
      <c r="C17" s="74"/>
      <c r="D17" s="75"/>
      <c r="E17" s="75"/>
      <c r="F17" s="75"/>
      <c r="G17" s="75"/>
      <c r="H17" s="75"/>
      <c r="I17" s="75"/>
      <c r="J17" s="75"/>
      <c r="K17" s="76"/>
      <c r="M17" s="387"/>
      <c r="N17" s="50"/>
      <c r="O17" s="81"/>
      <c r="Q17" s="83"/>
      <c r="R17" s="41"/>
      <c r="S17" s="69"/>
    </row>
    <row r="18" spans="2:19" collapsed="1">
      <c r="B18" s="68"/>
      <c r="H18" s="72"/>
      <c r="S18" s="69"/>
    </row>
    <row r="19" spans="2:19">
      <c r="B19" s="68"/>
      <c r="C19" s="315"/>
      <c r="D19" s="316" t="s">
        <v>275</v>
      </c>
      <c r="E19" s="317"/>
      <c r="F19" s="316" t="s">
        <v>275</v>
      </c>
      <c r="G19" s="317"/>
      <c r="H19" s="317"/>
      <c r="I19" s="317"/>
      <c r="J19" s="317"/>
      <c r="K19" s="318"/>
      <c r="M19" s="561"/>
      <c r="N19" s="562"/>
      <c r="O19" s="563"/>
      <c r="Q19" s="319"/>
      <c r="R19" s="320">
        <f>SUM(R21:R31)</f>
        <v>0</v>
      </c>
      <c r="S19" s="69"/>
    </row>
    <row r="20" spans="2:19">
      <c r="B20" s="68"/>
      <c r="C20" s="321"/>
      <c r="D20" s="322" t="s">
        <v>434</v>
      </c>
      <c r="E20" s="322"/>
      <c r="F20" s="322" t="s">
        <v>547</v>
      </c>
      <c r="G20" s="322"/>
      <c r="H20" s="322"/>
      <c r="I20" s="322"/>
      <c r="J20" s="322"/>
      <c r="K20" s="323"/>
      <c r="M20" s="564"/>
      <c r="N20" s="565"/>
      <c r="O20" s="566"/>
      <c r="Q20" s="324"/>
      <c r="R20" s="325"/>
      <c r="S20" s="69"/>
    </row>
    <row r="21" spans="2:19" outlineLevel="1">
      <c r="B21" s="68"/>
      <c r="C21" s="22"/>
      <c r="D21" s="18" t="s">
        <v>22</v>
      </c>
      <c r="F21" s="382" t="s">
        <v>554</v>
      </c>
      <c r="K21" s="88"/>
      <c r="M21" s="391"/>
      <c r="N21" s="49"/>
      <c r="O21" s="38"/>
      <c r="Q21" s="39"/>
      <c r="R21" s="40"/>
      <c r="S21" s="69"/>
    </row>
    <row r="22" spans="2:19" outlineLevel="1">
      <c r="B22" s="68"/>
      <c r="C22" s="22"/>
      <c r="D22" s="18" t="s">
        <v>79</v>
      </c>
      <c r="F22" s="18" t="s">
        <v>548</v>
      </c>
      <c r="H22" s="18" t="s">
        <v>61</v>
      </c>
      <c r="J22" s="18" t="s">
        <v>17</v>
      </c>
      <c r="K22" s="88"/>
      <c r="M22" s="392">
        <v>12890</v>
      </c>
      <c r="N22" s="49">
        <v>0.3</v>
      </c>
      <c r="O22" s="38">
        <v>12550</v>
      </c>
      <c r="Q22" s="39"/>
      <c r="R22" s="40">
        <f t="shared" ref="R22:R23" si="2">Q22*O22</f>
        <v>0</v>
      </c>
      <c r="S22" s="69"/>
    </row>
    <row r="23" spans="2:19" outlineLevel="1">
      <c r="B23" s="68"/>
      <c r="C23" s="22"/>
      <c r="D23" s="18" t="s">
        <v>21</v>
      </c>
      <c r="F23" s="18" t="s">
        <v>549</v>
      </c>
      <c r="H23" s="18" t="s">
        <v>60</v>
      </c>
      <c r="J23" s="18" t="s">
        <v>17</v>
      </c>
      <c r="K23" s="88"/>
      <c r="M23" s="392">
        <v>655</v>
      </c>
      <c r="N23" s="49">
        <v>0.3</v>
      </c>
      <c r="O23" s="38">
        <v>745</v>
      </c>
      <c r="Q23" s="39"/>
      <c r="R23" s="40">
        <f t="shared" si="2"/>
        <v>0</v>
      </c>
      <c r="S23" s="69"/>
    </row>
    <row r="24" spans="2:19" outlineLevel="1">
      <c r="B24" s="68"/>
      <c r="C24" s="87"/>
      <c r="K24" s="88"/>
      <c r="M24" s="392"/>
      <c r="N24" s="49"/>
      <c r="O24" s="38"/>
      <c r="Q24" s="39"/>
      <c r="R24" s="40"/>
      <c r="S24" s="69"/>
    </row>
    <row r="25" spans="2:19" outlineLevel="1">
      <c r="B25" s="68"/>
      <c r="C25" s="22"/>
      <c r="D25" s="18" t="s">
        <v>78</v>
      </c>
      <c r="F25" s="382" t="s">
        <v>553</v>
      </c>
      <c r="J25" s="18" t="s">
        <v>15</v>
      </c>
      <c r="K25" s="88"/>
      <c r="M25" s="392"/>
      <c r="N25" s="49"/>
      <c r="O25" s="38"/>
      <c r="Q25" s="39"/>
      <c r="R25" s="40"/>
      <c r="S25" s="69"/>
    </row>
    <row r="26" spans="2:19" outlineLevel="1">
      <c r="B26" s="68"/>
      <c r="C26" s="22"/>
      <c r="D26" s="18" t="s">
        <v>23</v>
      </c>
      <c r="F26" s="18" t="s">
        <v>548</v>
      </c>
      <c r="H26" s="18" t="s">
        <v>61</v>
      </c>
      <c r="J26" s="18" t="s">
        <v>14</v>
      </c>
      <c r="K26" s="88"/>
      <c r="M26" s="392">
        <v>27550</v>
      </c>
      <c r="N26" s="49">
        <v>0.3</v>
      </c>
      <c r="O26" s="38">
        <f t="shared" ref="O26:O28" si="3">M26*(1-N26)</f>
        <v>19285</v>
      </c>
      <c r="Q26" s="39"/>
      <c r="R26" s="40">
        <f t="shared" ref="R26:R28" si="4">Q26*O26</f>
        <v>0</v>
      </c>
      <c r="S26" s="69"/>
    </row>
    <row r="27" spans="2:19" outlineLevel="1">
      <c r="B27" s="68"/>
      <c r="C27" s="22"/>
      <c r="D27" s="18" t="s">
        <v>24</v>
      </c>
      <c r="F27" s="18" t="s">
        <v>549</v>
      </c>
      <c r="H27" s="18" t="s">
        <v>60</v>
      </c>
      <c r="J27" s="18" t="s">
        <v>15</v>
      </c>
      <c r="K27" s="88"/>
      <c r="M27" s="392">
        <v>2630</v>
      </c>
      <c r="N27" s="49">
        <v>0.3</v>
      </c>
      <c r="O27" s="38">
        <f t="shared" si="3"/>
        <v>1840.9999999999998</v>
      </c>
      <c r="Q27" s="39"/>
      <c r="R27" s="40">
        <f t="shared" si="4"/>
        <v>0</v>
      </c>
      <c r="S27" s="69"/>
    </row>
    <row r="28" spans="2:19" outlineLevel="1">
      <c r="B28" s="68"/>
      <c r="C28" s="22"/>
      <c r="D28" s="18" t="s">
        <v>25</v>
      </c>
      <c r="F28" s="18" t="s">
        <v>550</v>
      </c>
      <c r="H28" s="18" t="s">
        <v>63</v>
      </c>
      <c r="J28" s="18" t="s">
        <v>15</v>
      </c>
      <c r="K28" s="88"/>
      <c r="M28" s="392">
        <v>6.65</v>
      </c>
      <c r="N28" s="49">
        <v>0.3</v>
      </c>
      <c r="O28" s="38">
        <f t="shared" si="3"/>
        <v>4.6550000000000002</v>
      </c>
      <c r="Q28" s="39"/>
      <c r="R28" s="40">
        <f t="shared" si="4"/>
        <v>0</v>
      </c>
      <c r="S28" s="69"/>
    </row>
    <row r="29" spans="2:19" outlineLevel="1">
      <c r="B29" s="68"/>
      <c r="C29" s="87"/>
      <c r="F29" s="18" t="s">
        <v>551</v>
      </c>
      <c r="H29" s="18" t="s">
        <v>63</v>
      </c>
      <c r="K29" s="88"/>
      <c r="M29" s="392">
        <v>3.55</v>
      </c>
      <c r="N29" s="49"/>
      <c r="O29" s="38">
        <v>3.85</v>
      </c>
      <c r="Q29" s="39"/>
      <c r="R29" s="40"/>
      <c r="S29" s="69"/>
    </row>
    <row r="30" spans="2:19" outlineLevel="1">
      <c r="B30" s="68"/>
      <c r="C30" s="87"/>
      <c r="D30" s="18" t="s">
        <v>26</v>
      </c>
      <c r="F30" s="18" t="s">
        <v>552</v>
      </c>
      <c r="H30" s="18" t="s">
        <v>60</v>
      </c>
      <c r="J30" s="18" t="s">
        <v>15</v>
      </c>
      <c r="K30" s="88"/>
      <c r="M30" s="392">
        <v>0.58499999999999996</v>
      </c>
      <c r="N30" s="49">
        <v>0.3</v>
      </c>
      <c r="O30" s="38">
        <f t="shared" ref="O30" si="5">M30*(1-N30)</f>
        <v>0.40949999999999998</v>
      </c>
      <c r="Q30" s="39"/>
      <c r="R30" s="40">
        <f t="shared" ref="R30" si="6">Q30*O30</f>
        <v>0</v>
      </c>
      <c r="S30" s="69"/>
    </row>
    <row r="31" spans="2:19" outlineLevel="1">
      <c r="B31" s="68"/>
      <c r="C31" s="74"/>
      <c r="D31" s="75" t="s">
        <v>26</v>
      </c>
      <c r="E31" s="75"/>
      <c r="F31" s="75"/>
      <c r="G31" s="75"/>
      <c r="H31" s="75"/>
      <c r="I31" s="75"/>
      <c r="J31" s="75"/>
      <c r="K31" s="86"/>
      <c r="L31" s="75"/>
      <c r="M31" s="393"/>
      <c r="N31" s="50"/>
      <c r="O31" s="81"/>
      <c r="P31" s="22"/>
      <c r="Q31" s="394"/>
      <c r="R31" s="41"/>
      <c r="S31" s="69"/>
    </row>
    <row r="32" spans="2:19" ht="12.75" thickBot="1">
      <c r="B32" s="68"/>
      <c r="S32" s="69"/>
    </row>
    <row r="33" spans="2:19" ht="12.75" thickTop="1"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385"/>
      <c r="N33" s="46"/>
      <c r="O33" s="3"/>
      <c r="P33" s="2"/>
      <c r="Q33" s="4"/>
      <c r="R33" s="31"/>
      <c r="S33" s="5"/>
    </row>
    <row r="34" spans="2:19">
      <c r="B34" s="68"/>
      <c r="C34" s="84"/>
      <c r="F34" s="383" t="str">
        <f>[1]Providers!I74</f>
        <v>WRITTEN: DK</v>
      </c>
      <c r="G34" s="388"/>
      <c r="H34" s="395" t="str">
        <f>[1]Providers!K74</f>
        <v>LAST MODIF: 10/10/2014</v>
      </c>
      <c r="I34" s="396"/>
      <c r="J34" s="397"/>
      <c r="K34" s="398"/>
      <c r="M34" s="18"/>
      <c r="N34" s="18"/>
      <c r="O34" s="18"/>
      <c r="Q34" s="55"/>
      <c r="R34" s="53"/>
      <c r="S34" s="69"/>
    </row>
    <row r="35" spans="2:19" ht="12.75" thickBot="1"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389"/>
      <c r="N35" s="51"/>
      <c r="O35" s="13"/>
      <c r="P35" s="12"/>
      <c r="Q35" s="14"/>
      <c r="R35" s="42"/>
      <c r="S35" s="15"/>
    </row>
    <row r="36" spans="2:19" ht="12.75" thickTop="1"/>
  </sheetData>
  <mergeCells count="7">
    <mergeCell ref="M19:O19"/>
    <mergeCell ref="M20:O20"/>
    <mergeCell ref="Q7:R7"/>
    <mergeCell ref="M9:O9"/>
    <mergeCell ref="M10:O10"/>
    <mergeCell ref="M14:O14"/>
    <mergeCell ref="M15:O1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B60"/>
  <sheetViews>
    <sheetView showGridLines="0" zoomScale="85" zoomScaleNormal="85" workbookViewId="0">
      <selection activeCell="D21" sqref="D21"/>
    </sheetView>
  </sheetViews>
  <sheetFormatPr defaultColWidth="9.140625" defaultRowHeight="12" outlineLevelRow="1" outlineLevelCol="1"/>
  <cols>
    <col min="1" max="1" width="3" style="18" customWidth="1"/>
    <col min="2" max="2" width="3.28515625" style="18" customWidth="1"/>
    <col min="3" max="3" width="23.28515625" style="18" customWidth="1"/>
    <col min="4" max="4" width="63.42578125" style="18" customWidth="1" outlineLevel="1"/>
    <col min="5" max="5" width="2.140625" style="18" customWidth="1" collapsed="1"/>
    <col min="6" max="6" width="59.42578125" style="18" hidden="1" customWidth="1" outlineLevel="1"/>
    <col min="7" max="7" width="2.140625" style="18" customWidth="1"/>
    <col min="8" max="8" width="1.140625" style="18" customWidth="1"/>
    <col min="9" max="9" width="3.42578125" style="18" customWidth="1"/>
    <col min="10" max="10" width="41" style="18" customWidth="1"/>
    <col min="11" max="12" width="3.28515625" style="18" customWidth="1"/>
    <col min="13" max="13" width="9.85546875" style="117" customWidth="1"/>
    <col min="14" max="18" width="9.140625" style="118"/>
    <col min="19" max="16384" width="9.140625" style="18"/>
  </cols>
  <sheetData>
    <row r="1" spans="1:28" ht="12.75" thickBot="1">
      <c r="A1" s="16"/>
    </row>
    <row r="2" spans="1:28" ht="12.75" thickTop="1">
      <c r="B2" s="1"/>
      <c r="C2" s="2"/>
      <c r="D2" s="2"/>
      <c r="E2" s="2"/>
      <c r="F2" s="2"/>
      <c r="G2" s="2"/>
      <c r="H2" s="2"/>
      <c r="I2" s="2"/>
      <c r="J2" s="2"/>
      <c r="K2" s="5"/>
    </row>
    <row r="3" spans="1:28" ht="18.75">
      <c r="B3" s="68"/>
      <c r="D3" s="567" t="s">
        <v>150</v>
      </c>
      <c r="E3" s="19"/>
      <c r="F3" s="567" t="s">
        <v>151</v>
      </c>
      <c r="K3" s="69"/>
      <c r="M3" s="118"/>
    </row>
    <row r="4" spans="1:28" ht="18.75">
      <c r="B4" s="68"/>
      <c r="D4" s="567"/>
      <c r="E4" s="19"/>
      <c r="F4" s="567"/>
      <c r="K4" s="69"/>
      <c r="M4" s="118"/>
    </row>
    <row r="5" spans="1:28" ht="12.75" thickBot="1">
      <c r="B5" s="68"/>
      <c r="K5" s="69"/>
    </row>
    <row r="6" spans="1:28" ht="12.75" thickTop="1">
      <c r="B6" s="1"/>
      <c r="C6" s="2"/>
      <c r="D6" s="2"/>
      <c r="E6" s="2"/>
      <c r="F6" s="2"/>
      <c r="G6" s="2"/>
      <c r="H6" s="2"/>
      <c r="I6" s="2"/>
      <c r="J6" s="2"/>
      <c r="K6" s="5"/>
    </row>
    <row r="7" spans="1:28">
      <c r="B7" s="68"/>
      <c r="C7" s="28"/>
      <c r="D7" s="70" t="s">
        <v>2</v>
      </c>
      <c r="E7" s="70"/>
      <c r="F7" s="70" t="s">
        <v>67</v>
      </c>
      <c r="G7" s="58"/>
      <c r="H7" s="43"/>
      <c r="J7" s="133" t="s">
        <v>218</v>
      </c>
      <c r="K7" s="69"/>
      <c r="M7" s="118"/>
    </row>
    <row r="8" spans="1:28" s="9" customFormat="1">
      <c r="B8" s="32"/>
      <c r="C8" s="30" t="s">
        <v>4</v>
      </c>
      <c r="D8" s="70" t="s">
        <v>3</v>
      </c>
      <c r="E8" s="70"/>
      <c r="F8" s="70" t="s">
        <v>68</v>
      </c>
      <c r="G8" s="70"/>
      <c r="H8" s="59"/>
      <c r="I8" s="60"/>
      <c r="J8" s="132" t="s">
        <v>217</v>
      </c>
      <c r="K8" s="36"/>
      <c r="M8" s="119"/>
      <c r="N8" s="120"/>
      <c r="O8" s="120"/>
      <c r="P8" s="120"/>
      <c r="Q8" s="120"/>
      <c r="R8" s="120"/>
    </row>
    <row r="9" spans="1:28" s="9" customFormat="1">
      <c r="B9" s="32"/>
      <c r="H9" s="60"/>
      <c r="I9" s="60"/>
      <c r="J9" s="60"/>
      <c r="K9" s="36"/>
      <c r="M9" s="119"/>
      <c r="N9" s="120"/>
      <c r="O9" s="120"/>
      <c r="P9" s="120"/>
      <c r="Q9" s="120"/>
      <c r="R9" s="120"/>
    </row>
    <row r="10" spans="1:28" s="63" customFormat="1">
      <c r="B10" s="64"/>
      <c r="C10" s="65"/>
      <c r="D10" s="65" t="s">
        <v>199</v>
      </c>
      <c r="E10" s="65"/>
      <c r="F10" s="65" t="s">
        <v>200</v>
      </c>
      <c r="G10" s="65"/>
      <c r="H10" s="66"/>
      <c r="I10" s="60"/>
      <c r="J10" s="66"/>
      <c r="K10" s="67"/>
      <c r="M10" s="121"/>
      <c r="N10" s="122"/>
      <c r="O10" s="122"/>
      <c r="P10" s="122"/>
      <c r="Q10" s="122"/>
      <c r="R10" s="122"/>
    </row>
    <row r="11" spans="1:28">
      <c r="B11" s="68"/>
      <c r="I11" s="60"/>
      <c r="K11" s="69"/>
    </row>
    <row r="12" spans="1:28">
      <c r="B12" s="68"/>
      <c r="C12" s="137" t="s">
        <v>221</v>
      </c>
      <c r="D12" s="92" t="s">
        <v>201</v>
      </c>
      <c r="E12" s="56"/>
      <c r="F12" s="93" t="s">
        <v>202</v>
      </c>
      <c r="G12" s="56"/>
      <c r="H12" s="57"/>
      <c r="I12" s="60"/>
      <c r="J12" s="134"/>
      <c r="K12" s="69"/>
      <c r="M12" s="123"/>
    </row>
    <row r="13" spans="1:28" outlineLevel="1">
      <c r="B13" s="68"/>
      <c r="C13" s="131" t="s">
        <v>152</v>
      </c>
      <c r="D13" s="72" t="s">
        <v>177</v>
      </c>
      <c r="E13" s="72"/>
      <c r="F13" s="72" t="s">
        <v>177</v>
      </c>
      <c r="G13" s="72"/>
      <c r="H13" s="73"/>
      <c r="I13" s="60"/>
      <c r="J13" s="135"/>
      <c r="K13" s="69"/>
    </row>
    <row r="14" spans="1:28" outlineLevel="1">
      <c r="B14" s="68"/>
      <c r="C14" s="131" t="s">
        <v>153</v>
      </c>
      <c r="D14" s="18" t="s">
        <v>178</v>
      </c>
      <c r="F14" s="18" t="s">
        <v>178</v>
      </c>
      <c r="H14" s="23"/>
      <c r="I14" s="60"/>
      <c r="J14" s="135"/>
      <c r="K14" s="69"/>
    </row>
    <row r="15" spans="1:28" s="118" customFormat="1" outlineLevel="1">
      <c r="A15" s="18"/>
      <c r="B15" s="68"/>
      <c r="C15" s="131" t="s">
        <v>154</v>
      </c>
      <c r="D15" s="18" t="s">
        <v>179</v>
      </c>
      <c r="E15" s="18"/>
      <c r="F15" s="18" t="s">
        <v>179</v>
      </c>
      <c r="G15" s="18"/>
      <c r="H15" s="23"/>
      <c r="I15" s="60"/>
      <c r="J15" s="135"/>
      <c r="K15" s="69"/>
      <c r="L15" s="18"/>
      <c r="M15" s="117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spans="1:28" s="118" customFormat="1" outlineLevel="1">
      <c r="A16" s="18"/>
      <c r="B16" s="68"/>
      <c r="C16" s="131" t="s">
        <v>155</v>
      </c>
      <c r="D16" s="18" t="s">
        <v>180</v>
      </c>
      <c r="E16" s="18"/>
      <c r="F16" s="18" t="s">
        <v>180</v>
      </c>
      <c r="G16" s="18"/>
      <c r="H16" s="23"/>
      <c r="I16" s="60"/>
      <c r="J16" s="135"/>
      <c r="K16" s="69"/>
      <c r="L16" s="18"/>
      <c r="M16" s="117"/>
      <c r="S16" s="18"/>
      <c r="T16" s="18"/>
      <c r="U16" s="18"/>
      <c r="V16" s="18"/>
      <c r="W16" s="18"/>
      <c r="X16" s="18"/>
      <c r="Y16" s="18"/>
      <c r="Z16" s="18"/>
      <c r="AA16" s="18"/>
      <c r="AB16" s="18"/>
    </row>
    <row r="17" spans="1:28" s="118" customFormat="1" outlineLevel="1">
      <c r="A17" s="18"/>
      <c r="B17" s="68"/>
      <c r="C17" s="131" t="s">
        <v>156</v>
      </c>
      <c r="D17" s="18" t="s">
        <v>181</v>
      </c>
      <c r="E17" s="18"/>
      <c r="F17" s="18" t="s">
        <v>181</v>
      </c>
      <c r="G17" s="18"/>
      <c r="H17" s="23"/>
      <c r="I17" s="60"/>
      <c r="J17" s="135"/>
      <c r="K17" s="69"/>
      <c r="L17" s="18"/>
      <c r="M17" s="117"/>
      <c r="S17" s="18"/>
      <c r="T17" s="18"/>
      <c r="U17" s="18"/>
      <c r="V17" s="18"/>
      <c r="W17" s="18"/>
      <c r="X17" s="18"/>
      <c r="Y17" s="18"/>
      <c r="Z17" s="18"/>
      <c r="AA17" s="18"/>
      <c r="AB17" s="18"/>
    </row>
    <row r="18" spans="1:28" s="118" customFormat="1" outlineLevel="1">
      <c r="A18" s="18"/>
      <c r="B18" s="68"/>
      <c r="C18" s="131" t="s">
        <v>157</v>
      </c>
      <c r="D18" s="18" t="s">
        <v>182</v>
      </c>
      <c r="E18" s="18"/>
      <c r="F18" s="18" t="s">
        <v>182</v>
      </c>
      <c r="G18" s="18"/>
      <c r="H18" s="23"/>
      <c r="I18" s="60"/>
      <c r="J18" s="135"/>
      <c r="K18" s="69"/>
      <c r="L18" s="18"/>
      <c r="M18" s="117"/>
      <c r="S18" s="18"/>
      <c r="T18" s="18"/>
      <c r="U18" s="18"/>
      <c r="V18" s="18"/>
      <c r="W18" s="18"/>
      <c r="X18" s="18"/>
      <c r="Y18" s="18"/>
      <c r="Z18" s="18"/>
      <c r="AA18" s="18"/>
      <c r="AB18" s="18"/>
    </row>
    <row r="19" spans="1:28" s="118" customFormat="1" outlineLevel="1">
      <c r="A19" s="18"/>
      <c r="B19" s="68"/>
      <c r="C19" s="131" t="s">
        <v>158</v>
      </c>
      <c r="D19" s="18" t="s">
        <v>183</v>
      </c>
      <c r="E19" s="18"/>
      <c r="F19" s="18" t="s">
        <v>183</v>
      </c>
      <c r="G19" s="18"/>
      <c r="H19" s="23"/>
      <c r="I19" s="60"/>
      <c r="J19" s="135"/>
      <c r="K19" s="69"/>
      <c r="L19" s="18"/>
      <c r="M19" s="117"/>
      <c r="S19" s="18"/>
      <c r="T19" s="18"/>
      <c r="U19" s="18"/>
      <c r="V19" s="18"/>
      <c r="W19" s="18"/>
      <c r="X19" s="18"/>
      <c r="Y19" s="18"/>
      <c r="Z19" s="18"/>
      <c r="AA19" s="18"/>
      <c r="AB19" s="18"/>
    </row>
    <row r="20" spans="1:28" s="118" customFormat="1" outlineLevel="1">
      <c r="A20" s="18"/>
      <c r="B20" s="68"/>
      <c r="C20" s="131" t="s">
        <v>159</v>
      </c>
      <c r="D20" s="18" t="s">
        <v>184</v>
      </c>
      <c r="E20" s="18"/>
      <c r="F20" s="18" t="s">
        <v>184</v>
      </c>
      <c r="G20" s="18"/>
      <c r="H20" s="23"/>
      <c r="I20" s="60"/>
      <c r="J20" s="135"/>
      <c r="K20" s="69"/>
      <c r="L20" s="18"/>
      <c r="M20" s="117"/>
      <c r="S20" s="18"/>
      <c r="T20" s="18"/>
      <c r="U20" s="18"/>
      <c r="V20" s="18"/>
      <c r="W20" s="18"/>
      <c r="X20" s="18"/>
      <c r="Y20" s="18"/>
      <c r="Z20" s="18"/>
      <c r="AA20" s="18"/>
      <c r="AB20" s="18"/>
    </row>
    <row r="21" spans="1:28" s="118" customFormat="1" outlineLevel="1">
      <c r="A21" s="18"/>
      <c r="B21" s="68"/>
      <c r="C21" s="131" t="s">
        <v>160</v>
      </c>
      <c r="D21" s="18" t="s">
        <v>185</v>
      </c>
      <c r="E21" s="18"/>
      <c r="F21" s="18" t="s">
        <v>185</v>
      </c>
      <c r="G21" s="18"/>
      <c r="H21" s="23"/>
      <c r="I21" s="60"/>
      <c r="J21" s="135"/>
      <c r="K21" s="69"/>
      <c r="L21" s="18"/>
      <c r="M21" s="117"/>
      <c r="S21" s="18"/>
      <c r="T21" s="18"/>
      <c r="U21" s="18"/>
      <c r="V21" s="18"/>
      <c r="W21" s="18"/>
      <c r="X21" s="18"/>
      <c r="Y21" s="18"/>
      <c r="Z21" s="18"/>
      <c r="AA21" s="18"/>
      <c r="AB21" s="18"/>
    </row>
    <row r="22" spans="1:28" s="118" customFormat="1" outlineLevel="1">
      <c r="A22" s="18"/>
      <c r="B22" s="68"/>
      <c r="C22" s="131" t="s">
        <v>161</v>
      </c>
      <c r="D22" s="18" t="s">
        <v>186</v>
      </c>
      <c r="E22" s="18"/>
      <c r="F22" s="18" t="s">
        <v>186</v>
      </c>
      <c r="G22" s="18"/>
      <c r="H22" s="23"/>
      <c r="I22" s="60"/>
      <c r="J22" s="135"/>
      <c r="K22" s="69"/>
      <c r="L22" s="18"/>
      <c r="M22" s="117"/>
      <c r="S22" s="18"/>
      <c r="T22" s="18"/>
      <c r="U22" s="18"/>
      <c r="V22" s="18"/>
      <c r="W22" s="18"/>
      <c r="X22" s="18"/>
      <c r="Y22" s="18"/>
      <c r="Z22" s="18"/>
      <c r="AA22" s="18"/>
      <c r="AB22" s="18"/>
    </row>
    <row r="23" spans="1:28" s="118" customFormat="1" outlineLevel="1">
      <c r="A23" s="18"/>
      <c r="B23" s="68"/>
      <c r="C23" s="131" t="s">
        <v>162</v>
      </c>
      <c r="D23" s="18" t="s">
        <v>187</v>
      </c>
      <c r="E23" s="18"/>
      <c r="F23" s="18" t="s">
        <v>187</v>
      </c>
      <c r="G23" s="18"/>
      <c r="H23" s="23"/>
      <c r="I23" s="60"/>
      <c r="J23" s="135"/>
      <c r="K23" s="69"/>
      <c r="L23" s="18"/>
      <c r="M23" s="117"/>
      <c r="S23" s="18"/>
      <c r="T23" s="18"/>
      <c r="U23" s="18"/>
      <c r="V23" s="18"/>
      <c r="W23" s="18"/>
      <c r="X23" s="18"/>
      <c r="Y23" s="18"/>
      <c r="Z23" s="18"/>
      <c r="AA23" s="18"/>
      <c r="AB23" s="18"/>
    </row>
    <row r="24" spans="1:28" s="118" customFormat="1" outlineLevel="1">
      <c r="A24" s="18"/>
      <c r="B24" s="68"/>
      <c r="C24" s="131" t="s">
        <v>163</v>
      </c>
      <c r="D24" s="18" t="s">
        <v>188</v>
      </c>
      <c r="E24" s="18"/>
      <c r="F24" s="18" t="s">
        <v>188</v>
      </c>
      <c r="G24" s="18"/>
      <c r="H24" s="23"/>
      <c r="I24" s="60"/>
      <c r="J24" s="135"/>
      <c r="K24" s="69"/>
      <c r="L24" s="18"/>
      <c r="M24" s="117"/>
      <c r="S24" s="18"/>
      <c r="T24" s="18"/>
      <c r="U24" s="18"/>
      <c r="V24" s="18"/>
      <c r="W24" s="18"/>
      <c r="X24" s="18"/>
      <c r="Y24" s="18"/>
      <c r="Z24" s="18"/>
      <c r="AA24" s="18"/>
      <c r="AB24" s="18"/>
    </row>
    <row r="25" spans="1:28" s="118" customFormat="1" outlineLevel="1">
      <c r="A25" s="18"/>
      <c r="B25" s="68"/>
      <c r="C25" s="131" t="s">
        <v>164</v>
      </c>
      <c r="D25" s="18" t="s">
        <v>189</v>
      </c>
      <c r="E25" s="18"/>
      <c r="F25" s="18" t="s">
        <v>189</v>
      </c>
      <c r="G25" s="18"/>
      <c r="H25" s="23"/>
      <c r="I25" s="60"/>
      <c r="J25" s="135"/>
      <c r="K25" s="69"/>
      <c r="L25" s="18"/>
      <c r="M25" s="117"/>
      <c r="S25" s="18"/>
      <c r="T25" s="18"/>
      <c r="U25" s="18"/>
      <c r="V25" s="18"/>
      <c r="W25" s="18"/>
      <c r="X25" s="18"/>
      <c r="Y25" s="18"/>
      <c r="Z25" s="18"/>
      <c r="AA25" s="18"/>
      <c r="AB25" s="18"/>
    </row>
    <row r="26" spans="1:28" s="118" customFormat="1" outlineLevel="1">
      <c r="A26" s="18"/>
      <c r="B26" s="68"/>
      <c r="C26" s="131" t="s">
        <v>165</v>
      </c>
      <c r="D26" s="18" t="s">
        <v>190</v>
      </c>
      <c r="E26" s="18"/>
      <c r="F26" s="18" t="s">
        <v>190</v>
      </c>
      <c r="G26" s="18"/>
      <c r="H26" s="23"/>
      <c r="I26" s="60"/>
      <c r="J26" s="135"/>
      <c r="K26" s="69"/>
      <c r="L26" s="18"/>
      <c r="M26" s="117"/>
      <c r="S26" s="18"/>
      <c r="T26" s="18"/>
      <c r="U26" s="18"/>
      <c r="V26" s="18"/>
      <c r="W26" s="18"/>
      <c r="X26" s="18"/>
      <c r="Y26" s="18"/>
      <c r="Z26" s="18"/>
      <c r="AA26" s="18"/>
      <c r="AB26" s="18"/>
    </row>
    <row r="27" spans="1:28" s="118" customFormat="1" outlineLevel="1">
      <c r="A27" s="18"/>
      <c r="B27" s="68"/>
      <c r="C27" s="131" t="s">
        <v>166</v>
      </c>
      <c r="D27" s="18" t="s">
        <v>191</v>
      </c>
      <c r="E27" s="18"/>
      <c r="F27" s="18" t="s">
        <v>191</v>
      </c>
      <c r="G27" s="18"/>
      <c r="H27" s="23"/>
      <c r="I27" s="60"/>
      <c r="J27" s="135"/>
      <c r="K27" s="69"/>
      <c r="L27" s="18"/>
      <c r="M27" s="117"/>
      <c r="S27" s="18"/>
      <c r="T27" s="18"/>
      <c r="U27" s="18"/>
      <c r="V27" s="18"/>
      <c r="W27" s="18"/>
      <c r="X27" s="18"/>
      <c r="Y27" s="18"/>
      <c r="Z27" s="18"/>
      <c r="AA27" s="18"/>
      <c r="AB27" s="18"/>
    </row>
    <row r="28" spans="1:28" s="118" customFormat="1" outlineLevel="1">
      <c r="A28" s="18"/>
      <c r="B28" s="68"/>
      <c r="C28" s="131" t="s">
        <v>167</v>
      </c>
      <c r="D28" s="18" t="s">
        <v>192</v>
      </c>
      <c r="E28" s="18"/>
      <c r="F28" s="18" t="s">
        <v>192</v>
      </c>
      <c r="G28" s="18"/>
      <c r="H28" s="23"/>
      <c r="I28" s="60"/>
      <c r="J28" s="135"/>
      <c r="K28" s="69"/>
      <c r="L28" s="18"/>
      <c r="M28" s="117"/>
      <c r="S28" s="18"/>
      <c r="T28" s="18"/>
      <c r="U28" s="18"/>
      <c r="V28" s="18"/>
      <c r="W28" s="18"/>
      <c r="X28" s="18"/>
      <c r="Y28" s="18"/>
      <c r="Z28" s="18"/>
      <c r="AA28" s="18"/>
      <c r="AB28" s="18"/>
    </row>
    <row r="29" spans="1:28" s="118" customFormat="1" outlineLevel="1">
      <c r="A29" s="18"/>
      <c r="B29" s="68"/>
      <c r="C29" s="131" t="s">
        <v>168</v>
      </c>
      <c r="D29" s="18" t="s">
        <v>193</v>
      </c>
      <c r="E29" s="18"/>
      <c r="F29" s="18" t="s">
        <v>193</v>
      </c>
      <c r="G29" s="18"/>
      <c r="H29" s="23"/>
      <c r="I29" s="60"/>
      <c r="J29" s="135"/>
      <c r="K29" s="69"/>
      <c r="L29" s="18"/>
      <c r="M29" s="117"/>
      <c r="S29" s="18"/>
      <c r="T29" s="18"/>
      <c r="U29" s="18"/>
      <c r="V29" s="18"/>
      <c r="W29" s="18"/>
      <c r="X29" s="18"/>
      <c r="Y29" s="18"/>
      <c r="Z29" s="18"/>
      <c r="AA29" s="18"/>
      <c r="AB29" s="18"/>
    </row>
    <row r="30" spans="1:28" s="118" customFormat="1" outlineLevel="1">
      <c r="A30" s="18"/>
      <c r="B30" s="68"/>
      <c r="C30" s="131" t="s">
        <v>169</v>
      </c>
      <c r="D30" s="18" t="s">
        <v>194</v>
      </c>
      <c r="E30" s="18"/>
      <c r="F30" s="18" t="s">
        <v>194</v>
      </c>
      <c r="G30" s="18"/>
      <c r="H30" s="23"/>
      <c r="I30" s="60"/>
      <c r="J30" s="135"/>
      <c r="K30" s="69"/>
      <c r="L30" s="18"/>
      <c r="M30" s="117"/>
      <c r="S30" s="18"/>
      <c r="T30" s="18"/>
      <c r="U30" s="18"/>
      <c r="V30" s="18"/>
      <c r="W30" s="18"/>
      <c r="X30" s="18"/>
      <c r="Y30" s="18"/>
      <c r="Z30" s="18"/>
      <c r="AA30" s="18"/>
      <c r="AB30" s="18"/>
    </row>
    <row r="31" spans="1:28" s="118" customFormat="1" outlineLevel="1">
      <c r="A31" s="18"/>
      <c r="B31" s="68"/>
      <c r="C31" s="131" t="s">
        <v>170</v>
      </c>
      <c r="D31" s="18" t="s">
        <v>195</v>
      </c>
      <c r="E31" s="18"/>
      <c r="F31" s="18" t="s">
        <v>195</v>
      </c>
      <c r="G31" s="18"/>
      <c r="H31" s="23"/>
      <c r="I31" s="60"/>
      <c r="J31" s="135"/>
      <c r="K31" s="69"/>
      <c r="L31" s="18"/>
      <c r="M31" s="117"/>
      <c r="S31" s="18"/>
      <c r="T31" s="18"/>
      <c r="U31" s="18"/>
      <c r="V31" s="18"/>
      <c r="W31" s="18"/>
      <c r="X31" s="18"/>
      <c r="Y31" s="18"/>
      <c r="Z31" s="18"/>
      <c r="AA31" s="18"/>
      <c r="AB31" s="18"/>
    </row>
    <row r="32" spans="1:28" s="118" customFormat="1" outlineLevel="1">
      <c r="A32" s="18"/>
      <c r="B32" s="68"/>
      <c r="C32" s="131" t="s">
        <v>171</v>
      </c>
      <c r="D32" s="18" t="s">
        <v>196</v>
      </c>
      <c r="E32" s="18"/>
      <c r="F32" s="18" t="s">
        <v>196</v>
      </c>
      <c r="G32" s="18"/>
      <c r="H32" s="23"/>
      <c r="I32" s="60"/>
      <c r="J32" s="135"/>
      <c r="K32" s="69"/>
      <c r="L32" s="18"/>
      <c r="M32" s="117"/>
      <c r="S32" s="18"/>
      <c r="T32" s="18"/>
      <c r="U32" s="18"/>
      <c r="V32" s="18"/>
      <c r="W32" s="18"/>
      <c r="X32" s="18"/>
      <c r="Y32" s="18"/>
      <c r="Z32" s="18"/>
      <c r="AA32" s="18"/>
      <c r="AB32" s="18"/>
    </row>
    <row r="33" spans="1:28" s="118" customFormat="1" outlineLevel="1">
      <c r="A33" s="18"/>
      <c r="B33" s="68"/>
      <c r="C33" s="131" t="s">
        <v>172</v>
      </c>
      <c r="D33" s="18" t="s">
        <v>197</v>
      </c>
      <c r="E33" s="18"/>
      <c r="F33" s="18" t="s">
        <v>197</v>
      </c>
      <c r="G33" s="18"/>
      <c r="H33" s="23"/>
      <c r="I33" s="60"/>
      <c r="J33" s="135"/>
      <c r="K33" s="69"/>
      <c r="L33" s="18"/>
      <c r="M33" s="117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28" s="118" customFormat="1" outlineLevel="1">
      <c r="A34" s="18"/>
      <c r="B34" s="68"/>
      <c r="C34" s="131" t="s">
        <v>173</v>
      </c>
      <c r="D34" s="18" t="s">
        <v>198</v>
      </c>
      <c r="E34" s="18"/>
      <c r="F34" s="18" t="s">
        <v>198</v>
      </c>
      <c r="G34" s="18"/>
      <c r="H34" s="23"/>
      <c r="I34" s="60"/>
      <c r="J34" s="135"/>
      <c r="K34" s="69"/>
      <c r="L34" s="18"/>
      <c r="M34" s="117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28" s="118" customFormat="1" hidden="1" outlineLevel="1">
      <c r="A35" s="18"/>
      <c r="B35" s="68"/>
      <c r="C35" s="131" t="s">
        <v>174</v>
      </c>
      <c r="D35" s="18"/>
      <c r="E35" s="18"/>
      <c r="F35" s="18"/>
      <c r="G35" s="18"/>
      <c r="H35" s="23"/>
      <c r="I35" s="60"/>
      <c r="J35" s="135"/>
      <c r="K35" s="69"/>
      <c r="L35" s="18"/>
      <c r="M35" s="117"/>
      <c r="S35" s="18"/>
      <c r="T35" s="18"/>
      <c r="U35" s="18"/>
      <c r="V35" s="18"/>
      <c r="W35" s="18"/>
      <c r="X35" s="18"/>
      <c r="Y35" s="18"/>
      <c r="Z35" s="18"/>
      <c r="AA35" s="18"/>
      <c r="AB35" s="18"/>
    </row>
    <row r="36" spans="1:28" s="118" customFormat="1" hidden="1" outlineLevel="1">
      <c r="A36" s="18"/>
      <c r="B36" s="68"/>
      <c r="C36" s="131" t="s">
        <v>175</v>
      </c>
      <c r="D36" s="18"/>
      <c r="E36" s="18"/>
      <c r="F36" s="18"/>
      <c r="G36" s="18"/>
      <c r="H36" s="23"/>
      <c r="I36" s="60"/>
      <c r="J36" s="135"/>
      <c r="K36" s="69"/>
      <c r="L36" s="18"/>
      <c r="M36" s="117"/>
      <c r="S36" s="18"/>
      <c r="T36" s="18"/>
      <c r="U36" s="18"/>
      <c r="V36" s="18"/>
      <c r="W36" s="18"/>
      <c r="X36" s="18"/>
      <c r="Y36" s="18"/>
      <c r="Z36" s="18"/>
      <c r="AA36" s="18"/>
      <c r="AB36" s="18"/>
    </row>
    <row r="37" spans="1:28" s="118" customFormat="1" hidden="1" outlineLevel="1">
      <c r="A37" s="18"/>
      <c r="B37" s="68"/>
      <c r="C37" s="131" t="s">
        <v>176</v>
      </c>
      <c r="D37" s="18"/>
      <c r="E37" s="18"/>
      <c r="F37" s="18"/>
      <c r="G37" s="18"/>
      <c r="H37" s="23"/>
      <c r="I37" s="60"/>
      <c r="J37" s="135"/>
      <c r="K37" s="69"/>
      <c r="L37" s="18"/>
      <c r="M37" s="117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28" s="118" customFormat="1">
      <c r="A38" s="18"/>
      <c r="B38" s="68"/>
      <c r="C38" s="74"/>
      <c r="D38" s="75"/>
      <c r="E38" s="75"/>
      <c r="F38" s="75"/>
      <c r="G38" s="75"/>
      <c r="H38" s="76"/>
      <c r="I38" s="60"/>
      <c r="J38" s="136"/>
      <c r="K38" s="69"/>
      <c r="L38" s="18"/>
      <c r="M38" s="117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 s="118" customFormat="1">
      <c r="A39" s="18"/>
      <c r="B39" s="68"/>
      <c r="C39" s="18"/>
      <c r="D39" s="18"/>
      <c r="E39" s="18"/>
      <c r="F39" s="18"/>
      <c r="G39" s="18"/>
      <c r="H39" s="18"/>
      <c r="I39" s="60"/>
      <c r="J39" s="18"/>
      <c r="K39" s="69"/>
      <c r="L39" s="18"/>
      <c r="M39" s="117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 s="118" customFormat="1">
      <c r="A40" s="18"/>
      <c r="B40" s="68"/>
      <c r="C40" s="137" t="s">
        <v>210</v>
      </c>
      <c r="D40" s="142" t="s">
        <v>216</v>
      </c>
      <c r="E40" s="143"/>
      <c r="F40" s="142"/>
      <c r="G40" s="143"/>
      <c r="H40" s="144"/>
      <c r="I40" s="60"/>
      <c r="J40" s="134"/>
      <c r="K40" s="69"/>
      <c r="L40" s="18"/>
      <c r="M40" s="123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28" s="118" customFormat="1" outlineLevel="1">
      <c r="A41" s="18"/>
      <c r="B41" s="68"/>
      <c r="C41" s="138"/>
      <c r="D41" s="139" t="s">
        <v>220</v>
      </c>
      <c r="E41" s="140"/>
      <c r="F41" s="140"/>
      <c r="G41" s="140"/>
      <c r="H41" s="141"/>
      <c r="I41" s="60"/>
      <c r="J41" s="145"/>
      <c r="K41" s="69"/>
      <c r="L41" s="18"/>
      <c r="M41" s="117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28" s="118" customFormat="1" outlineLevel="1">
      <c r="A42" s="18"/>
      <c r="B42" s="68"/>
      <c r="C42" s="22"/>
      <c r="D42" s="18"/>
      <c r="E42" s="18"/>
      <c r="F42" s="18"/>
      <c r="G42" s="18"/>
      <c r="H42" s="23"/>
      <c r="I42" s="60"/>
      <c r="J42" s="135"/>
      <c r="K42" s="69"/>
      <c r="L42" s="18"/>
      <c r="M42" s="117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28" s="118" customFormat="1" outlineLevel="1">
      <c r="A43" s="18"/>
      <c r="B43" s="68"/>
      <c r="C43" s="22"/>
      <c r="D43" s="18"/>
      <c r="E43" s="18"/>
      <c r="F43" s="18"/>
      <c r="G43" s="18"/>
      <c r="H43" s="23"/>
      <c r="I43" s="60"/>
      <c r="J43" s="135"/>
      <c r="K43" s="69"/>
      <c r="L43" s="18"/>
      <c r="M43" s="117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28" s="118" customFormat="1" outlineLevel="1">
      <c r="A44" s="18"/>
      <c r="B44" s="68"/>
      <c r="C44" s="22"/>
      <c r="D44" s="18"/>
      <c r="E44" s="18"/>
      <c r="F44" s="18"/>
      <c r="G44" s="18"/>
      <c r="H44" s="23"/>
      <c r="I44" s="60"/>
      <c r="J44" s="135"/>
      <c r="K44" s="69"/>
      <c r="L44" s="18"/>
      <c r="M44" s="117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28" s="118" customFormat="1" outlineLevel="1">
      <c r="A45" s="18"/>
      <c r="B45" s="68"/>
      <c r="C45" s="22"/>
      <c r="D45" s="18"/>
      <c r="E45" s="18"/>
      <c r="F45" s="18"/>
      <c r="G45" s="18"/>
      <c r="H45" s="23"/>
      <c r="I45" s="60"/>
      <c r="J45" s="135"/>
      <c r="K45" s="69"/>
      <c r="L45" s="18"/>
      <c r="M45" s="117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28" s="118" customFormat="1" outlineLevel="1">
      <c r="A46" s="18"/>
      <c r="B46" s="68"/>
      <c r="C46" s="22"/>
      <c r="D46" s="18"/>
      <c r="E46" s="18"/>
      <c r="F46" s="18"/>
      <c r="G46" s="18"/>
      <c r="H46" s="23"/>
      <c r="I46" s="60"/>
      <c r="J46" s="135"/>
      <c r="K46" s="69"/>
      <c r="L46" s="18"/>
      <c r="M46" s="117"/>
      <c r="S46" s="18"/>
      <c r="T46" s="18"/>
      <c r="U46" s="18"/>
      <c r="V46" s="18"/>
      <c r="W46" s="18"/>
      <c r="X46" s="18"/>
      <c r="Y46" s="18"/>
      <c r="Z46" s="18"/>
      <c r="AA46" s="18"/>
      <c r="AB46" s="18"/>
    </row>
    <row r="47" spans="1:28" s="118" customFormat="1" outlineLevel="1">
      <c r="A47" s="18"/>
      <c r="B47" s="68"/>
      <c r="C47" s="138"/>
      <c r="D47" s="139" t="s">
        <v>219</v>
      </c>
      <c r="E47" s="140"/>
      <c r="F47" s="140"/>
      <c r="G47" s="140"/>
      <c r="H47" s="141"/>
      <c r="I47" s="60"/>
      <c r="J47" s="145"/>
      <c r="K47" s="69"/>
      <c r="L47" s="18"/>
      <c r="M47" s="117"/>
      <c r="S47" s="18"/>
      <c r="T47" s="18"/>
      <c r="U47" s="18"/>
      <c r="V47" s="18"/>
      <c r="W47" s="18"/>
      <c r="X47" s="18"/>
      <c r="Y47" s="18"/>
      <c r="Z47" s="18"/>
      <c r="AA47" s="18"/>
      <c r="AB47" s="18"/>
    </row>
    <row r="48" spans="1:28" s="118" customFormat="1" outlineLevel="1">
      <c r="A48" s="18"/>
      <c r="B48" s="68"/>
      <c r="C48" s="22"/>
      <c r="D48" s="18"/>
      <c r="E48" s="18"/>
      <c r="F48" s="18"/>
      <c r="G48" s="18"/>
      <c r="H48" s="23"/>
      <c r="I48" s="60"/>
      <c r="J48" s="135"/>
      <c r="K48" s="69"/>
      <c r="L48" s="18"/>
      <c r="M48" s="117"/>
      <c r="S48" s="18"/>
      <c r="T48" s="18"/>
      <c r="U48" s="18"/>
      <c r="V48" s="18"/>
      <c r="W48" s="18"/>
      <c r="X48" s="18"/>
      <c r="Y48" s="18"/>
      <c r="Z48" s="18"/>
      <c r="AA48" s="18"/>
      <c r="AB48" s="18"/>
    </row>
    <row r="49" spans="1:28" s="118" customFormat="1" outlineLevel="1">
      <c r="A49" s="18"/>
      <c r="B49" s="68"/>
      <c r="C49" s="22"/>
      <c r="D49" s="18"/>
      <c r="E49" s="18"/>
      <c r="F49" s="18"/>
      <c r="G49" s="18"/>
      <c r="H49" s="23"/>
      <c r="I49" s="60"/>
      <c r="J49" s="135"/>
      <c r="K49" s="69"/>
      <c r="L49" s="18"/>
      <c r="M49" s="117"/>
      <c r="S49" s="18"/>
      <c r="T49" s="18"/>
      <c r="U49" s="18"/>
      <c r="V49" s="18"/>
      <c r="W49" s="18"/>
      <c r="X49" s="18"/>
      <c r="Y49" s="18"/>
      <c r="Z49" s="18"/>
      <c r="AA49" s="18"/>
      <c r="AB49" s="18"/>
    </row>
    <row r="50" spans="1:28" s="118" customFormat="1" outlineLevel="1">
      <c r="A50" s="18"/>
      <c r="B50" s="68"/>
      <c r="C50" s="22"/>
      <c r="D50" s="18"/>
      <c r="E50" s="18"/>
      <c r="F50" s="18"/>
      <c r="G50" s="18"/>
      <c r="H50" s="23"/>
      <c r="I50" s="60"/>
      <c r="J50" s="135"/>
      <c r="K50" s="69"/>
      <c r="L50" s="18"/>
      <c r="M50" s="117"/>
      <c r="S50" s="18"/>
      <c r="T50" s="18"/>
      <c r="U50" s="18"/>
      <c r="V50" s="18"/>
      <c r="W50" s="18"/>
      <c r="X50" s="18"/>
      <c r="Y50" s="18"/>
      <c r="Z50" s="18"/>
      <c r="AA50" s="18"/>
      <c r="AB50" s="18"/>
    </row>
    <row r="51" spans="1:28" s="118" customFormat="1" outlineLevel="1">
      <c r="A51" s="18"/>
      <c r="B51" s="68"/>
      <c r="C51" s="22"/>
      <c r="D51" s="18"/>
      <c r="E51" s="18"/>
      <c r="F51" s="18"/>
      <c r="G51" s="18"/>
      <c r="H51" s="23"/>
      <c r="I51" s="60"/>
      <c r="J51" s="135"/>
      <c r="K51" s="69"/>
      <c r="L51" s="18"/>
      <c r="M51" s="117"/>
      <c r="S51" s="18"/>
      <c r="T51" s="18"/>
      <c r="U51" s="18"/>
      <c r="V51" s="18"/>
      <c r="W51" s="18"/>
      <c r="X51" s="18"/>
      <c r="Y51" s="18"/>
      <c r="Z51" s="18"/>
      <c r="AA51" s="18"/>
      <c r="AB51" s="18"/>
    </row>
    <row r="52" spans="1:28" s="118" customFormat="1" outlineLevel="1">
      <c r="A52" s="18"/>
      <c r="B52" s="68"/>
      <c r="C52" s="22"/>
      <c r="D52" s="18"/>
      <c r="E52" s="18"/>
      <c r="F52" s="18"/>
      <c r="G52" s="18"/>
      <c r="H52" s="23"/>
      <c r="I52" s="60"/>
      <c r="J52" s="135"/>
      <c r="K52" s="69"/>
      <c r="L52" s="18"/>
      <c r="M52" s="117"/>
      <c r="S52" s="18"/>
      <c r="T52" s="18"/>
      <c r="U52" s="18"/>
      <c r="V52" s="18"/>
      <c r="W52" s="18"/>
      <c r="X52" s="18"/>
      <c r="Y52" s="18"/>
      <c r="Z52" s="18"/>
      <c r="AA52" s="18"/>
      <c r="AB52" s="18"/>
    </row>
    <row r="53" spans="1:28" s="118" customFormat="1">
      <c r="A53" s="18"/>
      <c r="B53" s="68"/>
      <c r="C53" s="74"/>
      <c r="D53" s="75"/>
      <c r="E53" s="75"/>
      <c r="F53" s="75"/>
      <c r="G53" s="75"/>
      <c r="H53" s="76"/>
      <c r="I53" s="60"/>
      <c r="J53" s="136"/>
      <c r="K53" s="69"/>
      <c r="L53" s="18"/>
      <c r="M53" s="117"/>
      <c r="S53" s="18"/>
      <c r="T53" s="18"/>
      <c r="U53" s="18"/>
      <c r="V53" s="18"/>
      <c r="W53" s="18"/>
      <c r="X53" s="18"/>
      <c r="Y53" s="18"/>
      <c r="Z53" s="18"/>
      <c r="AA53" s="18"/>
      <c r="AB53" s="18"/>
    </row>
    <row r="54" spans="1:28" s="118" customFormat="1">
      <c r="A54" s="18"/>
      <c r="B54" s="68"/>
      <c r="C54" s="18"/>
      <c r="D54" s="18"/>
      <c r="E54" s="18"/>
      <c r="F54" s="18"/>
      <c r="G54" s="18"/>
      <c r="H54" s="18"/>
      <c r="I54" s="18"/>
      <c r="J54" s="18"/>
      <c r="K54" s="69"/>
      <c r="L54" s="18"/>
      <c r="M54" s="117"/>
      <c r="S54" s="18"/>
      <c r="T54" s="18"/>
      <c r="U54" s="18"/>
      <c r="V54" s="18"/>
      <c r="W54" s="18"/>
      <c r="X54" s="18"/>
      <c r="Y54" s="18"/>
      <c r="Z54" s="18"/>
      <c r="AA54" s="18"/>
      <c r="AB54" s="18"/>
    </row>
    <row r="55" spans="1:28">
      <c r="B55" s="68"/>
      <c r="K55" s="69"/>
    </row>
    <row r="56" spans="1:28" ht="12.75" thickBot="1">
      <c r="B56" s="68"/>
      <c r="K56" s="69"/>
    </row>
    <row r="57" spans="1:28" ht="12.75" thickTop="1">
      <c r="B57" s="1"/>
      <c r="C57" s="2"/>
      <c r="D57" s="2"/>
      <c r="E57" s="2"/>
      <c r="F57" s="2"/>
      <c r="G57" s="2"/>
      <c r="H57" s="2"/>
      <c r="I57" s="2"/>
      <c r="J57" s="2"/>
      <c r="K57" s="5"/>
    </row>
    <row r="58" spans="1:28" ht="12.75" customHeight="1">
      <c r="B58" s="68"/>
      <c r="C58" s="84" t="e">
        <f>#REF!</f>
        <v>#REF!</v>
      </c>
      <c r="D58" s="6"/>
      <c r="F58" s="52" t="e">
        <f>#REF!</f>
        <v>#REF!</v>
      </c>
      <c r="G58" s="24"/>
      <c r="K58" s="69"/>
      <c r="M58" s="124"/>
    </row>
    <row r="59" spans="1:28" ht="12.75" thickBot="1">
      <c r="B59" s="11"/>
      <c r="C59" s="12"/>
      <c r="D59" s="12"/>
      <c r="E59" s="12"/>
      <c r="F59" s="12"/>
      <c r="G59" s="12"/>
      <c r="H59" s="12"/>
      <c r="I59" s="12"/>
      <c r="J59" s="12"/>
      <c r="K59" s="15"/>
    </row>
    <row r="60" spans="1:28" ht="12.75" thickTop="1"/>
  </sheetData>
  <mergeCells count="2">
    <mergeCell ref="D3:D4"/>
    <mergeCell ref="F3:F4"/>
  </mergeCells>
  <pageMargins left="0.25" right="0.25" top="0.75" bottom="0.75" header="0.3" footer="0.3"/>
  <pageSetup scale="90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</vt:i4>
      </vt:variant>
    </vt:vector>
  </HeadingPairs>
  <TitlesOfParts>
    <vt:vector size="9" baseType="lpstr">
      <vt:lpstr>Q_resume</vt:lpstr>
      <vt:lpstr>Assumptions</vt:lpstr>
      <vt:lpstr>setup</vt:lpstr>
      <vt:lpstr>Formularz cenowy</vt:lpstr>
      <vt:lpstr>Q_Finance</vt:lpstr>
      <vt:lpstr>Q_Services</vt:lpstr>
      <vt:lpstr>Q_Diamond</vt:lpstr>
      <vt:lpstr>Attachement 01</vt:lpstr>
      <vt:lpstr>'Attachement 01'!Obszar_wydruku</vt:lpstr>
    </vt:vector>
  </TitlesOfParts>
  <Company>Staci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Kieblesz Damian</dc:creator>
  <cp:lastModifiedBy>Dąbkowska Sylwia</cp:lastModifiedBy>
  <cp:lastPrinted>2020-04-07T09:35:28Z</cp:lastPrinted>
  <dcterms:created xsi:type="dcterms:W3CDTF">2014-02-13T12:53:30Z</dcterms:created>
  <dcterms:modified xsi:type="dcterms:W3CDTF">2025-04-14T09:13:01Z</dcterms:modified>
</cp:coreProperties>
</file>