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2260" windowHeight="12645" tabRatio="700" activeTab="2"/>
  </bookViews>
  <sheets>
    <sheet name="1.Defibrylatory i kompresja" sheetId="1" r:id="rId1"/>
    <sheet name="2.Pompy Medima" sheetId="4" r:id="rId2"/>
    <sheet name="3.Pompy Ascor" sheetId="5" r:id="rId3"/>
    <sheet name="4.Pompy Kwapisz" sheetId="6" r:id="rId4"/>
    <sheet name="5.Pompy Braun" sheetId="7" r:id="rId5"/>
  </sheets>
  <definedNames>
    <definedName name="_xlnm.Print_Area" localSheetId="0">'1.Defibrylatory i kompresja'!$A$3:$M$62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/>
  <c r="I53"/>
  <c r="F30"/>
  <c r="F31"/>
  <c r="F32"/>
  <c r="F12"/>
  <c r="G51" l="1"/>
  <c r="B26" i="6" l="1"/>
  <c r="I53" i="5" l="1"/>
  <c r="H53"/>
  <c r="G53"/>
  <c r="F53"/>
  <c r="E53"/>
  <c r="D53"/>
  <c r="C53"/>
  <c r="B53"/>
  <c r="I52"/>
  <c r="H52"/>
  <c r="G52"/>
  <c r="F52"/>
  <c r="E52"/>
  <c r="D52"/>
  <c r="C52"/>
  <c r="B52"/>
  <c r="I51"/>
  <c r="H51"/>
  <c r="G51"/>
  <c r="F51"/>
  <c r="E51"/>
  <c r="D51"/>
  <c r="C51"/>
  <c r="B51"/>
  <c r="I50"/>
  <c r="H50"/>
  <c r="G50"/>
  <c r="F50"/>
  <c r="E50"/>
  <c r="D50"/>
  <c r="C50"/>
  <c r="B50"/>
  <c r="I49"/>
  <c r="H49"/>
  <c r="G49"/>
  <c r="F49"/>
  <c r="E49"/>
  <c r="D49"/>
  <c r="C49"/>
  <c r="B49"/>
  <c r="I48"/>
  <c r="H48"/>
  <c r="G48"/>
  <c r="F48"/>
  <c r="E48"/>
  <c r="D48"/>
  <c r="C48"/>
  <c r="B48"/>
  <c r="I47"/>
  <c r="H47"/>
  <c r="G47"/>
  <c r="F47"/>
  <c r="E47"/>
  <c r="D47"/>
  <c r="C47"/>
  <c r="B47"/>
  <c r="I46"/>
  <c r="H46"/>
  <c r="G46"/>
  <c r="F46"/>
  <c r="E46"/>
  <c r="D46"/>
  <c r="C46"/>
  <c r="B46"/>
  <c r="I45"/>
  <c r="H45"/>
  <c r="G45"/>
  <c r="F45"/>
  <c r="E45"/>
  <c r="D45"/>
  <c r="C45"/>
  <c r="B45"/>
  <c r="I44"/>
  <c r="H44"/>
  <c r="G44"/>
  <c r="F44"/>
  <c r="E44"/>
  <c r="D44"/>
  <c r="C44"/>
  <c r="B44"/>
  <c r="I43"/>
  <c r="H43"/>
  <c r="G43"/>
  <c r="F43"/>
  <c r="E43"/>
  <c r="D43"/>
  <c r="C43"/>
  <c r="B43"/>
  <c r="I42"/>
  <c r="H42"/>
  <c r="G42"/>
  <c r="F42"/>
  <c r="E42"/>
  <c r="D42"/>
  <c r="C42"/>
  <c r="B42"/>
  <c r="I41"/>
  <c r="H41"/>
  <c r="G41"/>
  <c r="F41"/>
  <c r="E41"/>
  <c r="D41"/>
  <c r="C41"/>
  <c r="B41"/>
  <c r="I40"/>
  <c r="H40"/>
  <c r="G40"/>
  <c r="F40"/>
  <c r="E40"/>
  <c r="D40"/>
  <c r="C40"/>
  <c r="B40"/>
  <c r="I39"/>
  <c r="H39"/>
  <c r="G39"/>
  <c r="F39"/>
  <c r="E39"/>
  <c r="D39"/>
  <c r="C39"/>
  <c r="B39"/>
  <c r="I38"/>
  <c r="H38"/>
  <c r="G38"/>
  <c r="F38"/>
  <c r="E38"/>
  <c r="D38"/>
  <c r="C38"/>
  <c r="B38"/>
  <c r="I37"/>
  <c r="H37"/>
  <c r="G37"/>
  <c r="F37"/>
  <c r="E37"/>
  <c r="D37"/>
  <c r="C37"/>
  <c r="B37"/>
  <c r="I36"/>
  <c r="H36"/>
  <c r="G36"/>
  <c r="F36"/>
  <c r="E36"/>
  <c r="D36"/>
  <c r="C36"/>
  <c r="B36"/>
  <c r="I35"/>
  <c r="H35"/>
  <c r="G35"/>
  <c r="F35"/>
  <c r="E35"/>
  <c r="D35"/>
  <c r="C35"/>
  <c r="B35"/>
  <c r="I34"/>
  <c r="H34"/>
  <c r="G34"/>
  <c r="F34"/>
  <c r="E34"/>
  <c r="D34"/>
  <c r="C34"/>
  <c r="B34"/>
  <c r="I33"/>
  <c r="H33"/>
  <c r="F33"/>
  <c r="E33"/>
  <c r="D33"/>
  <c r="C33"/>
  <c r="B33"/>
  <c r="I32"/>
  <c r="H32"/>
  <c r="F32"/>
  <c r="E32"/>
  <c r="D32"/>
  <c r="C32"/>
  <c r="B32"/>
  <c r="I31"/>
  <c r="H31"/>
  <c r="G31"/>
  <c r="F31"/>
  <c r="E31"/>
  <c r="D31"/>
  <c r="C31"/>
  <c r="B31"/>
  <c r="I30"/>
  <c r="H30"/>
  <c r="G30"/>
  <c r="F30"/>
  <c r="E30"/>
  <c r="D30"/>
  <c r="C30"/>
  <c r="B30"/>
  <c r="I29"/>
  <c r="H29"/>
  <c r="G29"/>
  <c r="F29"/>
  <c r="E29"/>
  <c r="D29"/>
  <c r="C29"/>
  <c r="B29"/>
  <c r="I28"/>
  <c r="H28"/>
  <c r="G28"/>
  <c r="F28"/>
  <c r="E28"/>
  <c r="D28"/>
  <c r="C28"/>
  <c r="B28"/>
  <c r="I27"/>
  <c r="H27"/>
  <c r="G27"/>
  <c r="F27"/>
  <c r="E27"/>
  <c r="D27"/>
  <c r="C27"/>
  <c r="B27"/>
  <c r="I26"/>
  <c r="H26"/>
  <c r="G26"/>
  <c r="F26"/>
  <c r="E26"/>
  <c r="D26"/>
  <c r="C26"/>
  <c r="B26"/>
  <c r="I25"/>
  <c r="H25"/>
  <c r="G25"/>
  <c r="F25"/>
  <c r="E25"/>
  <c r="D25"/>
  <c r="C25"/>
  <c r="B25"/>
  <c r="I24"/>
  <c r="H24"/>
  <c r="G24"/>
  <c r="F24"/>
  <c r="E24"/>
  <c r="D24"/>
  <c r="C24"/>
  <c r="B24"/>
  <c r="I23"/>
  <c r="H23"/>
  <c r="G23"/>
  <c r="F23"/>
  <c r="E23"/>
  <c r="D23"/>
  <c r="C23"/>
  <c r="B23"/>
  <c r="I22"/>
  <c r="H22"/>
  <c r="G22"/>
  <c r="F22"/>
  <c r="E22"/>
  <c r="D22"/>
  <c r="C22"/>
  <c r="B22"/>
  <c r="I21"/>
  <c r="H21"/>
  <c r="G21"/>
  <c r="F21"/>
  <c r="E21"/>
  <c r="D21"/>
  <c r="C21"/>
  <c r="B21"/>
  <c r="I20"/>
  <c r="H20"/>
  <c r="G20"/>
  <c r="F20"/>
  <c r="E20"/>
  <c r="D20"/>
  <c r="C20"/>
  <c r="B20"/>
  <c r="I19"/>
  <c r="H19"/>
  <c r="G19"/>
  <c r="F19"/>
  <c r="E19"/>
  <c r="D19"/>
  <c r="C19"/>
  <c r="B19"/>
  <c r="I18"/>
  <c r="H18"/>
  <c r="G18"/>
  <c r="F18"/>
  <c r="E18"/>
  <c r="D18"/>
  <c r="C18"/>
  <c r="B18"/>
  <c r="I17"/>
  <c r="H17"/>
  <c r="G17"/>
  <c r="F17"/>
  <c r="E17"/>
  <c r="D17"/>
  <c r="C17"/>
  <c r="B17"/>
  <c r="I16"/>
  <c r="H16"/>
  <c r="G16"/>
  <c r="F16"/>
  <c r="E16"/>
  <c r="D16"/>
  <c r="C16"/>
  <c r="B16"/>
  <c r="I15"/>
  <c r="H15"/>
  <c r="G15"/>
  <c r="F15"/>
  <c r="E15"/>
  <c r="D15"/>
  <c r="C15"/>
  <c r="B15"/>
  <c r="I14"/>
  <c r="H14"/>
  <c r="G14"/>
  <c r="F14"/>
  <c r="E14"/>
  <c r="D14"/>
  <c r="C14"/>
  <c r="B14"/>
  <c r="I13"/>
  <c r="H13"/>
  <c r="G13"/>
  <c r="F13"/>
  <c r="E13"/>
  <c r="D13"/>
  <c r="C13"/>
  <c r="B13"/>
  <c r="I12"/>
  <c r="H12"/>
  <c r="G12"/>
  <c r="F12"/>
  <c r="E12"/>
  <c r="D12"/>
  <c r="C12"/>
  <c r="B12"/>
  <c r="I11"/>
  <c r="H11"/>
  <c r="G11"/>
  <c r="F11"/>
  <c r="E11"/>
  <c r="D11"/>
  <c r="C11"/>
  <c r="B11"/>
  <c r="I10"/>
  <c r="H10"/>
  <c r="G10"/>
  <c r="F10"/>
  <c r="E10"/>
  <c r="D10"/>
  <c r="C10"/>
  <c r="B10"/>
  <c r="I9"/>
  <c r="H9"/>
  <c r="F9"/>
  <c r="E9"/>
  <c r="D9"/>
  <c r="C9"/>
  <c r="B9"/>
  <c r="I8"/>
  <c r="H8"/>
  <c r="F8"/>
  <c r="E8"/>
  <c r="D8"/>
  <c r="C8"/>
  <c r="B8"/>
  <c r="I7"/>
  <c r="H7"/>
  <c r="G7"/>
  <c r="F7"/>
  <c r="E7"/>
  <c r="D7"/>
  <c r="C7"/>
  <c r="B7"/>
  <c r="I6"/>
  <c r="H6"/>
  <c r="G6"/>
  <c r="F6"/>
  <c r="E6"/>
  <c r="D6"/>
  <c r="C6"/>
  <c r="B6"/>
  <c r="I5"/>
  <c r="H5"/>
  <c r="G5"/>
  <c r="F5"/>
  <c r="E5"/>
  <c r="D5"/>
  <c r="C5"/>
  <c r="B5"/>
  <c r="J4"/>
  <c r="I4"/>
  <c r="H4"/>
  <c r="G4"/>
  <c r="F4"/>
  <c r="E4"/>
  <c r="D4"/>
  <c r="C4"/>
  <c r="B4"/>
  <c r="K19" i="7"/>
  <c r="I19"/>
  <c r="H19"/>
  <c r="G19"/>
  <c r="F19"/>
  <c r="E19"/>
  <c r="D19"/>
  <c r="C19"/>
  <c r="B19"/>
  <c r="K18"/>
  <c r="I18"/>
  <c r="H18"/>
  <c r="G18"/>
  <c r="F18"/>
  <c r="E18"/>
  <c r="D18"/>
  <c r="C18"/>
  <c r="B18"/>
  <c r="K17"/>
  <c r="I17"/>
  <c r="H17"/>
  <c r="G17"/>
  <c r="F17"/>
  <c r="E17"/>
  <c r="D17"/>
  <c r="C17"/>
  <c r="B17"/>
  <c r="K16"/>
  <c r="I16"/>
  <c r="H16"/>
  <c r="G16"/>
  <c r="F16"/>
  <c r="E16"/>
  <c r="D16"/>
  <c r="C16"/>
  <c r="B16"/>
  <c r="K15"/>
  <c r="I15"/>
  <c r="H15"/>
  <c r="G15"/>
  <c r="F15"/>
  <c r="E15"/>
  <c r="D15"/>
  <c r="C15"/>
  <c r="B15"/>
  <c r="K14"/>
  <c r="I14"/>
  <c r="H14"/>
  <c r="G14"/>
  <c r="F14"/>
  <c r="E14"/>
  <c r="D14"/>
  <c r="C14"/>
  <c r="B14"/>
  <c r="K13"/>
  <c r="I13"/>
  <c r="H13"/>
  <c r="G13"/>
  <c r="F13"/>
  <c r="E13"/>
  <c r="D13"/>
  <c r="C13"/>
  <c r="B13"/>
  <c r="K12"/>
  <c r="I12"/>
  <c r="H12"/>
  <c r="G12"/>
  <c r="F12"/>
  <c r="E12"/>
  <c r="D12"/>
  <c r="C12"/>
  <c r="B12"/>
  <c r="K11"/>
  <c r="I11"/>
  <c r="H11"/>
  <c r="G11"/>
  <c r="F11"/>
  <c r="E11"/>
  <c r="D11"/>
  <c r="C11"/>
  <c r="B11"/>
  <c r="K10"/>
  <c r="I10"/>
  <c r="H10"/>
  <c r="G10"/>
  <c r="F10"/>
  <c r="E10"/>
  <c r="D10"/>
  <c r="C10"/>
  <c r="B10"/>
  <c r="I9"/>
  <c r="G9"/>
  <c r="F9"/>
  <c r="E9"/>
  <c r="D9"/>
  <c r="C9"/>
  <c r="B9"/>
  <c r="I8"/>
  <c r="H8"/>
  <c r="G8"/>
  <c r="F8"/>
  <c r="E8"/>
  <c r="D8"/>
  <c r="C8"/>
  <c r="B8"/>
  <c r="I7"/>
  <c r="H7"/>
  <c r="G7"/>
  <c r="F7"/>
  <c r="E7"/>
  <c r="D7"/>
  <c r="C7"/>
  <c r="B7"/>
  <c r="I6"/>
  <c r="H6"/>
  <c r="G6"/>
  <c r="F6"/>
  <c r="E6"/>
  <c r="D6"/>
  <c r="C6"/>
  <c r="B6"/>
  <c r="I5"/>
  <c r="H5"/>
  <c r="G5"/>
  <c r="F5"/>
  <c r="E5"/>
  <c r="D5"/>
  <c r="C5"/>
  <c r="B5"/>
  <c r="K4"/>
  <c r="J4"/>
  <c r="I4"/>
  <c r="H4"/>
  <c r="G4"/>
  <c r="F4"/>
  <c r="E4"/>
  <c r="D4"/>
  <c r="C4"/>
  <c r="B4"/>
  <c r="G35" i="6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G25"/>
  <c r="F25"/>
  <c r="E25"/>
  <c r="D25"/>
  <c r="C25"/>
  <c r="B25"/>
  <c r="G24"/>
  <c r="F24"/>
  <c r="E24"/>
  <c r="D24"/>
  <c r="C24"/>
  <c r="B24"/>
  <c r="G23"/>
  <c r="F23"/>
  <c r="E23"/>
  <c r="D23"/>
  <c r="C23"/>
  <c r="B23"/>
  <c r="G22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8"/>
  <c r="F8"/>
  <c r="E8"/>
  <c r="D8"/>
  <c r="C8"/>
  <c r="B8"/>
  <c r="G7"/>
  <c r="F7"/>
  <c r="E7"/>
  <c r="D7"/>
  <c r="C7"/>
  <c r="B7"/>
  <c r="G6"/>
  <c r="F6"/>
  <c r="E6"/>
  <c r="D6"/>
  <c r="C6"/>
  <c r="B6"/>
  <c r="G5"/>
  <c r="F5"/>
  <c r="E5"/>
  <c r="D5"/>
  <c r="C5"/>
  <c r="B5"/>
  <c r="H4"/>
  <c r="G4"/>
  <c r="F4"/>
  <c r="E4"/>
  <c r="D4"/>
  <c r="C4"/>
  <c r="B4"/>
  <c r="H4" i="4"/>
  <c r="G4"/>
  <c r="F4"/>
  <c r="E4"/>
  <c r="D4"/>
  <c r="C4"/>
  <c r="B4"/>
  <c r="I214"/>
  <c r="G214"/>
  <c r="F214"/>
  <c r="E214"/>
  <c r="D214"/>
  <c r="C214"/>
  <c r="B214"/>
  <c r="I213"/>
  <c r="G213"/>
  <c r="F213"/>
  <c r="E213"/>
  <c r="D213"/>
  <c r="C213"/>
  <c r="B213"/>
  <c r="I212"/>
  <c r="G212"/>
  <c r="F212"/>
  <c r="E212"/>
  <c r="D212"/>
  <c r="C212"/>
  <c r="B212"/>
  <c r="I211"/>
  <c r="G211"/>
  <c r="F211"/>
  <c r="E211"/>
  <c r="D211"/>
  <c r="C211"/>
  <c r="B211"/>
  <c r="I210"/>
  <c r="G210"/>
  <c r="F210"/>
  <c r="E210"/>
  <c r="D210"/>
  <c r="C210"/>
  <c r="B210"/>
  <c r="I209"/>
  <c r="G209"/>
  <c r="F209"/>
  <c r="E209"/>
  <c r="D209"/>
  <c r="C209"/>
  <c r="B209"/>
  <c r="I208"/>
  <c r="G208"/>
  <c r="F208"/>
  <c r="E208"/>
  <c r="D208"/>
  <c r="C208"/>
  <c r="B208"/>
  <c r="I207"/>
  <c r="G207"/>
  <c r="F207"/>
  <c r="E207"/>
  <c r="D207"/>
  <c r="C207"/>
  <c r="B207"/>
  <c r="I206"/>
  <c r="G206"/>
  <c r="F206"/>
  <c r="E206"/>
  <c r="D206"/>
  <c r="C206"/>
  <c r="B206"/>
  <c r="I205"/>
  <c r="G205"/>
  <c r="F205"/>
  <c r="E205"/>
  <c r="D205"/>
  <c r="C205"/>
  <c r="B205"/>
  <c r="I204"/>
  <c r="G204"/>
  <c r="F204"/>
  <c r="E204"/>
  <c r="D204"/>
  <c r="C204"/>
  <c r="B204"/>
  <c r="I203"/>
  <c r="G203"/>
  <c r="F203"/>
  <c r="E203"/>
  <c r="D203"/>
  <c r="C203"/>
  <c r="B203"/>
  <c r="G202"/>
  <c r="E202"/>
  <c r="D202"/>
  <c r="C202"/>
  <c r="B202"/>
  <c r="G201"/>
  <c r="F201"/>
  <c r="E201"/>
  <c r="D201"/>
  <c r="C201"/>
  <c r="B201"/>
  <c r="G200"/>
  <c r="F200"/>
  <c r="E200"/>
  <c r="D200"/>
  <c r="C200"/>
  <c r="B200"/>
  <c r="G199"/>
  <c r="F199"/>
  <c r="E199"/>
  <c r="D199"/>
  <c r="C199"/>
  <c r="B199"/>
  <c r="G198"/>
  <c r="F198"/>
  <c r="E198"/>
  <c r="D198"/>
  <c r="C198"/>
  <c r="B198"/>
  <c r="G197"/>
  <c r="F197"/>
  <c r="E197"/>
  <c r="D197"/>
  <c r="C197"/>
  <c r="B197"/>
  <c r="G196"/>
  <c r="F196"/>
  <c r="E196"/>
  <c r="D196"/>
  <c r="C196"/>
  <c r="B196"/>
  <c r="G195"/>
  <c r="F195"/>
  <c r="E195"/>
  <c r="D195"/>
  <c r="C195"/>
  <c r="B195"/>
  <c r="G194"/>
  <c r="F194"/>
  <c r="E194"/>
  <c r="D194"/>
  <c r="C194"/>
  <c r="B194"/>
  <c r="G193"/>
  <c r="F193"/>
  <c r="E193"/>
  <c r="D193"/>
  <c r="C193"/>
  <c r="B193"/>
  <c r="G192"/>
  <c r="F192"/>
  <c r="E192"/>
  <c r="D192"/>
  <c r="C192"/>
  <c r="B192"/>
  <c r="G191"/>
  <c r="F191"/>
  <c r="E191"/>
  <c r="D191"/>
  <c r="C191"/>
  <c r="B191"/>
  <c r="G190"/>
  <c r="F190"/>
  <c r="E190"/>
  <c r="D190"/>
  <c r="C190"/>
  <c r="B190"/>
  <c r="G189"/>
  <c r="F189"/>
  <c r="E189"/>
  <c r="D189"/>
  <c r="C189"/>
  <c r="B189"/>
  <c r="G188"/>
  <c r="F188"/>
  <c r="E188"/>
  <c r="D188"/>
  <c r="C188"/>
  <c r="B188"/>
  <c r="G187"/>
  <c r="F187"/>
  <c r="E187"/>
  <c r="D187"/>
  <c r="C187"/>
  <c r="B187"/>
  <c r="G186"/>
  <c r="F186"/>
  <c r="E186"/>
  <c r="D186"/>
  <c r="C186"/>
  <c r="B186"/>
  <c r="G185"/>
  <c r="F185"/>
  <c r="E185"/>
  <c r="D185"/>
  <c r="C185"/>
  <c r="B185"/>
  <c r="G184"/>
  <c r="F184"/>
  <c r="E184"/>
  <c r="D184"/>
  <c r="C184"/>
  <c r="B184"/>
  <c r="G183"/>
  <c r="F183"/>
  <c r="E183"/>
  <c r="D183"/>
  <c r="C183"/>
  <c r="B183"/>
  <c r="G182"/>
  <c r="F182"/>
  <c r="E182"/>
  <c r="D182"/>
  <c r="C182"/>
  <c r="B182"/>
  <c r="G181"/>
  <c r="F181"/>
  <c r="E181"/>
  <c r="D181"/>
  <c r="C181"/>
  <c r="B181"/>
  <c r="G180"/>
  <c r="F180"/>
  <c r="E180"/>
  <c r="D180"/>
  <c r="C180"/>
  <c r="B180"/>
  <c r="G179"/>
  <c r="F179"/>
  <c r="E179"/>
  <c r="D179"/>
  <c r="C179"/>
  <c r="B179"/>
  <c r="G178"/>
  <c r="F178"/>
  <c r="E178"/>
  <c r="D178"/>
  <c r="C178"/>
  <c r="B178"/>
  <c r="G177"/>
  <c r="F177"/>
  <c r="E177"/>
  <c r="D177"/>
  <c r="C177"/>
  <c r="B177"/>
  <c r="G176"/>
  <c r="F176"/>
  <c r="E176"/>
  <c r="D176"/>
  <c r="C176"/>
  <c r="B176"/>
  <c r="G175"/>
  <c r="F175"/>
  <c r="E175"/>
  <c r="D175"/>
  <c r="C175"/>
  <c r="B175"/>
  <c r="G174"/>
  <c r="F174"/>
  <c r="E174"/>
  <c r="D174"/>
  <c r="C174"/>
  <c r="B174"/>
  <c r="G173"/>
  <c r="F173"/>
  <c r="E173"/>
  <c r="D173"/>
  <c r="C173"/>
  <c r="B173"/>
  <c r="G172"/>
  <c r="F172"/>
  <c r="E172"/>
  <c r="D172"/>
  <c r="C172"/>
  <c r="B172"/>
  <c r="G171"/>
  <c r="F171"/>
  <c r="E171"/>
  <c r="D171"/>
  <c r="C171"/>
  <c r="B171"/>
  <c r="G170"/>
  <c r="F170"/>
  <c r="E170"/>
  <c r="D170"/>
  <c r="C170"/>
  <c r="B170"/>
  <c r="G169"/>
  <c r="F169"/>
  <c r="E169"/>
  <c r="D169"/>
  <c r="C169"/>
  <c r="B169"/>
  <c r="G168"/>
  <c r="F168"/>
  <c r="E168"/>
  <c r="D168"/>
  <c r="C168"/>
  <c r="B168"/>
  <c r="G167"/>
  <c r="F167"/>
  <c r="E167"/>
  <c r="D167"/>
  <c r="C167"/>
  <c r="B167"/>
  <c r="G166"/>
  <c r="F166"/>
  <c r="E166"/>
  <c r="D166"/>
  <c r="C166"/>
  <c r="B166"/>
  <c r="G165"/>
  <c r="F165"/>
  <c r="E165"/>
  <c r="D165"/>
  <c r="C165"/>
  <c r="B165"/>
  <c r="G164"/>
  <c r="F164"/>
  <c r="E164"/>
  <c r="D164"/>
  <c r="C164"/>
  <c r="B164"/>
  <c r="G163"/>
  <c r="F163"/>
  <c r="E163"/>
  <c r="D163"/>
  <c r="C163"/>
  <c r="B163"/>
  <c r="G162"/>
  <c r="F162"/>
  <c r="E162"/>
  <c r="D162"/>
  <c r="C162"/>
  <c r="B162"/>
  <c r="G161"/>
  <c r="F161"/>
  <c r="E161"/>
  <c r="D161"/>
  <c r="C161"/>
  <c r="B161"/>
  <c r="G160"/>
  <c r="F160"/>
  <c r="E160"/>
  <c r="D160"/>
  <c r="C160"/>
  <c r="B160"/>
  <c r="G159"/>
  <c r="F159"/>
  <c r="E159"/>
  <c r="D159"/>
  <c r="C159"/>
  <c r="B159"/>
  <c r="G158"/>
  <c r="F158"/>
  <c r="E158"/>
  <c r="D158"/>
  <c r="C158"/>
  <c r="B158"/>
  <c r="G157"/>
  <c r="F157"/>
  <c r="E157"/>
  <c r="D157"/>
  <c r="C157"/>
  <c r="B157"/>
  <c r="G156"/>
  <c r="F156"/>
  <c r="E156"/>
  <c r="D156"/>
  <c r="C156"/>
  <c r="B156"/>
  <c r="G155"/>
  <c r="F155"/>
  <c r="E155"/>
  <c r="D155"/>
  <c r="C155"/>
  <c r="B155"/>
  <c r="G154"/>
  <c r="F154"/>
  <c r="E154"/>
  <c r="D154"/>
  <c r="C154"/>
  <c r="B154"/>
  <c r="G153"/>
  <c r="F153"/>
  <c r="E153"/>
  <c r="D153"/>
  <c r="C153"/>
  <c r="B153"/>
  <c r="G152"/>
  <c r="F152"/>
  <c r="E152"/>
  <c r="D152"/>
  <c r="C152"/>
  <c r="B152"/>
  <c r="G151"/>
  <c r="F151"/>
  <c r="E151"/>
  <c r="D151"/>
  <c r="C151"/>
  <c r="B151"/>
  <c r="G150"/>
  <c r="F150"/>
  <c r="E150"/>
  <c r="D150"/>
  <c r="C150"/>
  <c r="B150"/>
  <c r="G149"/>
  <c r="F149"/>
  <c r="E149"/>
  <c r="D149"/>
  <c r="C149"/>
  <c r="B149"/>
  <c r="G148"/>
  <c r="F148"/>
  <c r="E148"/>
  <c r="D148"/>
  <c r="C148"/>
  <c r="B148"/>
  <c r="G147"/>
  <c r="F147"/>
  <c r="E147"/>
  <c r="D147"/>
  <c r="C147"/>
  <c r="B147"/>
  <c r="G146"/>
  <c r="F146"/>
  <c r="E146"/>
  <c r="D146"/>
  <c r="C146"/>
  <c r="B146"/>
  <c r="G145"/>
  <c r="F145"/>
  <c r="E145"/>
  <c r="D145"/>
  <c r="C145"/>
  <c r="B145"/>
  <c r="G144"/>
  <c r="F144"/>
  <c r="E144"/>
  <c r="D144"/>
  <c r="C144"/>
  <c r="B144"/>
  <c r="G143"/>
  <c r="F143"/>
  <c r="E143"/>
  <c r="D143"/>
  <c r="C143"/>
  <c r="B143"/>
  <c r="G142"/>
  <c r="F142"/>
  <c r="E142"/>
  <c r="D142"/>
  <c r="C142"/>
  <c r="B142"/>
  <c r="G141"/>
  <c r="F141"/>
  <c r="E141"/>
  <c r="D141"/>
  <c r="C141"/>
  <c r="B141"/>
  <c r="G140"/>
  <c r="F140"/>
  <c r="E140"/>
  <c r="D140"/>
  <c r="C140"/>
  <c r="B140"/>
  <c r="G139"/>
  <c r="F139"/>
  <c r="E139"/>
  <c r="D139"/>
  <c r="C139"/>
  <c r="B139"/>
  <c r="G138"/>
  <c r="F138"/>
  <c r="E138"/>
  <c r="D138"/>
  <c r="C138"/>
  <c r="B138"/>
  <c r="G137"/>
  <c r="F137"/>
  <c r="E137"/>
  <c r="D137"/>
  <c r="C137"/>
  <c r="B137"/>
  <c r="G136"/>
  <c r="F136"/>
  <c r="E136"/>
  <c r="D136"/>
  <c r="C136"/>
  <c r="B136"/>
  <c r="G135"/>
  <c r="F135"/>
  <c r="E135"/>
  <c r="D135"/>
  <c r="C135"/>
  <c r="B135"/>
  <c r="G134"/>
  <c r="F134"/>
  <c r="E134"/>
  <c r="D134"/>
  <c r="C134"/>
  <c r="B134"/>
  <c r="G133"/>
  <c r="F133"/>
  <c r="E133"/>
  <c r="D133"/>
  <c r="C133"/>
  <c r="B133"/>
  <c r="G132"/>
  <c r="F132"/>
  <c r="E132"/>
  <c r="D132"/>
  <c r="C132"/>
  <c r="B132"/>
  <c r="G131"/>
  <c r="F131"/>
  <c r="E131"/>
  <c r="D131"/>
  <c r="C131"/>
  <c r="B131"/>
  <c r="G130"/>
  <c r="F130"/>
  <c r="E130"/>
  <c r="D130"/>
  <c r="C130"/>
  <c r="B130"/>
  <c r="G129"/>
  <c r="F129"/>
  <c r="E129"/>
  <c r="D129"/>
  <c r="C129"/>
  <c r="B129"/>
  <c r="G128"/>
  <c r="F128"/>
  <c r="E128"/>
  <c r="D128"/>
  <c r="C128"/>
  <c r="B128"/>
  <c r="G127"/>
  <c r="F127"/>
  <c r="E127"/>
  <c r="D127"/>
  <c r="C127"/>
  <c r="B127"/>
  <c r="G126"/>
  <c r="F126"/>
  <c r="E126"/>
  <c r="D126"/>
  <c r="C126"/>
  <c r="B126"/>
  <c r="G125"/>
  <c r="F125"/>
  <c r="E125"/>
  <c r="D125"/>
  <c r="C125"/>
  <c r="B125"/>
  <c r="G124"/>
  <c r="F124"/>
  <c r="E124"/>
  <c r="D124"/>
  <c r="C124"/>
  <c r="B124"/>
  <c r="G123"/>
  <c r="F123"/>
  <c r="E123"/>
  <c r="D123"/>
  <c r="C123"/>
  <c r="B123"/>
  <c r="G122"/>
  <c r="F122"/>
  <c r="E122"/>
  <c r="D122"/>
  <c r="C122"/>
  <c r="B122"/>
  <c r="G121"/>
  <c r="F121"/>
  <c r="E121"/>
  <c r="D121"/>
  <c r="C121"/>
  <c r="B121"/>
  <c r="G120"/>
  <c r="F120"/>
  <c r="E120"/>
  <c r="D120"/>
  <c r="C120"/>
  <c r="B120"/>
  <c r="G119"/>
  <c r="F119"/>
  <c r="E119"/>
  <c r="D119"/>
  <c r="C119"/>
  <c r="B119"/>
  <c r="G118"/>
  <c r="F118"/>
  <c r="E118"/>
  <c r="D118"/>
  <c r="C118"/>
  <c r="B118"/>
  <c r="G117"/>
  <c r="F117"/>
  <c r="E117"/>
  <c r="D117"/>
  <c r="C117"/>
  <c r="B117"/>
  <c r="G116"/>
  <c r="F116"/>
  <c r="E116"/>
  <c r="D116"/>
  <c r="C116"/>
  <c r="B116"/>
  <c r="G115"/>
  <c r="F115"/>
  <c r="E115"/>
  <c r="D115"/>
  <c r="C115"/>
  <c r="B115"/>
  <c r="G114"/>
  <c r="F114"/>
  <c r="E114"/>
  <c r="D114"/>
  <c r="C114"/>
  <c r="B114"/>
  <c r="G113"/>
  <c r="F113"/>
  <c r="E113"/>
  <c r="D113"/>
  <c r="C113"/>
  <c r="B113"/>
  <c r="G112"/>
  <c r="F112"/>
  <c r="E112"/>
  <c r="D112"/>
  <c r="C112"/>
  <c r="B112"/>
  <c r="G111"/>
  <c r="F111"/>
  <c r="E111"/>
  <c r="D111"/>
  <c r="C111"/>
  <c r="B111"/>
  <c r="G110"/>
  <c r="F110"/>
  <c r="E110"/>
  <c r="D110"/>
  <c r="C110"/>
  <c r="B110"/>
  <c r="G109"/>
  <c r="F109"/>
  <c r="E109"/>
  <c r="D109"/>
  <c r="C109"/>
  <c r="B109"/>
  <c r="G108"/>
  <c r="F108"/>
  <c r="E108"/>
  <c r="D108"/>
  <c r="C108"/>
  <c r="B108"/>
  <c r="G107"/>
  <c r="F107"/>
  <c r="E107"/>
  <c r="D107"/>
  <c r="C107"/>
  <c r="B107"/>
  <c r="G106"/>
  <c r="F106"/>
  <c r="E106"/>
  <c r="D106"/>
  <c r="C106"/>
  <c r="B106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2"/>
  <c r="F102"/>
  <c r="E102"/>
  <c r="D102"/>
  <c r="C102"/>
  <c r="B102"/>
  <c r="G101"/>
  <c r="F101"/>
  <c r="E101"/>
  <c r="D101"/>
  <c r="C101"/>
  <c r="B101"/>
  <c r="G100"/>
  <c r="F100"/>
  <c r="E100"/>
  <c r="D100"/>
  <c r="C100"/>
  <c r="B100"/>
  <c r="G99"/>
  <c r="F99"/>
  <c r="E99"/>
  <c r="D99"/>
  <c r="C99"/>
  <c r="B99"/>
  <c r="G98"/>
  <c r="F98"/>
  <c r="E98"/>
  <c r="D98"/>
  <c r="C98"/>
  <c r="B98"/>
  <c r="G97"/>
  <c r="F97"/>
  <c r="E97"/>
  <c r="D97"/>
  <c r="C97"/>
  <c r="B97"/>
  <c r="G96"/>
  <c r="F96"/>
  <c r="E96"/>
  <c r="D96"/>
  <c r="C96"/>
  <c r="B96"/>
  <c r="G95"/>
  <c r="F95"/>
  <c r="E95"/>
  <c r="D95"/>
  <c r="C95"/>
  <c r="B95"/>
  <c r="G94"/>
  <c r="F94"/>
  <c r="E94"/>
  <c r="D94"/>
  <c r="C94"/>
  <c r="B94"/>
  <c r="G93"/>
  <c r="F93"/>
  <c r="E93"/>
  <c r="D93"/>
  <c r="C93"/>
  <c r="B93"/>
  <c r="G92"/>
  <c r="F92"/>
  <c r="E92"/>
  <c r="D92"/>
  <c r="C92"/>
  <c r="B92"/>
  <c r="G91"/>
  <c r="F91"/>
  <c r="E91"/>
  <c r="D91"/>
  <c r="C91"/>
  <c r="B91"/>
  <c r="G90"/>
  <c r="F90"/>
  <c r="E90"/>
  <c r="D90"/>
  <c r="C90"/>
  <c r="B90"/>
  <c r="G89"/>
  <c r="F89"/>
  <c r="E89"/>
  <c r="D89"/>
  <c r="C89"/>
  <c r="B89"/>
  <c r="G88"/>
  <c r="F88"/>
  <c r="E88"/>
  <c r="D88"/>
  <c r="C88"/>
  <c r="B88"/>
  <c r="G87"/>
  <c r="F87"/>
  <c r="E87"/>
  <c r="D87"/>
  <c r="C87"/>
  <c r="B87"/>
  <c r="G86"/>
  <c r="F86"/>
  <c r="E86"/>
  <c r="D86"/>
  <c r="C86"/>
  <c r="B86"/>
  <c r="G85"/>
  <c r="F85"/>
  <c r="E85"/>
  <c r="D85"/>
  <c r="C85"/>
  <c r="B85"/>
  <c r="G84"/>
  <c r="F84"/>
  <c r="E84"/>
  <c r="D84"/>
  <c r="C84"/>
  <c r="B84"/>
  <c r="G83"/>
  <c r="F83"/>
  <c r="E83"/>
  <c r="D83"/>
  <c r="C83"/>
  <c r="B83"/>
  <c r="G82"/>
  <c r="F82"/>
  <c r="E82"/>
  <c r="D82"/>
  <c r="C82"/>
  <c r="B82"/>
  <c r="G81"/>
  <c r="F81"/>
  <c r="E81"/>
  <c r="D81"/>
  <c r="C81"/>
  <c r="B81"/>
  <c r="G80"/>
  <c r="F80"/>
  <c r="E80"/>
  <c r="D80"/>
  <c r="C80"/>
  <c r="B80"/>
  <c r="G79"/>
  <c r="F79"/>
  <c r="E79"/>
  <c r="D79"/>
  <c r="C79"/>
  <c r="B79"/>
  <c r="G78"/>
  <c r="F78"/>
  <c r="E78"/>
  <c r="D78"/>
  <c r="C78"/>
  <c r="B78"/>
  <c r="G77"/>
  <c r="F77"/>
  <c r="E77"/>
  <c r="D77"/>
  <c r="C77"/>
  <c r="B77"/>
  <c r="G76"/>
  <c r="F76"/>
  <c r="E76"/>
  <c r="D76"/>
  <c r="C76"/>
  <c r="B76"/>
  <c r="G75"/>
  <c r="F75"/>
  <c r="E75"/>
  <c r="D75"/>
  <c r="C75"/>
  <c r="B75"/>
  <c r="G74"/>
  <c r="F74"/>
  <c r="E74"/>
  <c r="D74"/>
  <c r="C74"/>
  <c r="B74"/>
  <c r="G73"/>
  <c r="F73"/>
  <c r="E73"/>
  <c r="D73"/>
  <c r="C73"/>
  <c r="B73"/>
  <c r="G72"/>
  <c r="F72"/>
  <c r="E72"/>
  <c r="D72"/>
  <c r="C72"/>
  <c r="B72"/>
  <c r="G71"/>
  <c r="F71"/>
  <c r="E71"/>
  <c r="D71"/>
  <c r="C71"/>
  <c r="B71"/>
  <c r="G70"/>
  <c r="F70"/>
  <c r="E70"/>
  <c r="D70"/>
  <c r="C70"/>
  <c r="B70"/>
  <c r="G69"/>
  <c r="F69"/>
  <c r="E69"/>
  <c r="D69"/>
  <c r="C69"/>
  <c r="B69"/>
  <c r="G68"/>
  <c r="F68"/>
  <c r="E68"/>
  <c r="D68"/>
  <c r="C68"/>
  <c r="B68"/>
  <c r="G67"/>
  <c r="F67"/>
  <c r="E67"/>
  <c r="D67"/>
  <c r="C67"/>
  <c r="B67"/>
  <c r="G66"/>
  <c r="F66"/>
  <c r="E66"/>
  <c r="D66"/>
  <c r="C66"/>
  <c r="B66"/>
  <c r="G65"/>
  <c r="F65"/>
  <c r="E65"/>
  <c r="D65"/>
  <c r="C65"/>
  <c r="B65"/>
  <c r="G64"/>
  <c r="F64"/>
  <c r="E64"/>
  <c r="D64"/>
  <c r="C64"/>
  <c r="B64"/>
  <c r="G63"/>
  <c r="F63"/>
  <c r="E63"/>
  <c r="D63"/>
  <c r="C63"/>
  <c r="B63"/>
  <c r="G62"/>
  <c r="F62"/>
  <c r="E62"/>
  <c r="D62"/>
  <c r="C62"/>
  <c r="B62"/>
  <c r="G61"/>
  <c r="F61"/>
  <c r="E61"/>
  <c r="D61"/>
  <c r="C61"/>
  <c r="B61"/>
  <c r="G60"/>
  <c r="F60"/>
  <c r="E60"/>
  <c r="D60"/>
  <c r="C60"/>
  <c r="B60"/>
  <c r="G59"/>
  <c r="F59"/>
  <c r="E59"/>
  <c r="D59"/>
  <c r="C59"/>
  <c r="B59"/>
  <c r="G58"/>
  <c r="F58"/>
  <c r="E58"/>
  <c r="D58"/>
  <c r="C58"/>
  <c r="B58"/>
  <c r="G57"/>
  <c r="F57"/>
  <c r="E57"/>
  <c r="D57"/>
  <c r="C57"/>
  <c r="B57"/>
  <c r="G56"/>
  <c r="F56"/>
  <c r="E56"/>
  <c r="D56"/>
  <c r="C56"/>
  <c r="B56"/>
  <c r="G55"/>
  <c r="F55"/>
  <c r="E55"/>
  <c r="D55"/>
  <c r="C55"/>
  <c r="B55"/>
  <c r="G54"/>
  <c r="F54"/>
  <c r="E54"/>
  <c r="D54"/>
  <c r="C54"/>
  <c r="B54"/>
  <c r="G53"/>
  <c r="F53"/>
  <c r="E53"/>
  <c r="D53"/>
  <c r="C53"/>
  <c r="B53"/>
  <c r="G52"/>
  <c r="F52"/>
  <c r="E52"/>
  <c r="D52"/>
  <c r="C52"/>
  <c r="B52"/>
  <c r="G51"/>
  <c r="F51"/>
  <c r="E51"/>
  <c r="D51"/>
  <c r="C51"/>
  <c r="B51"/>
  <c r="G50"/>
  <c r="F50"/>
  <c r="E50"/>
  <c r="D50"/>
  <c r="C50"/>
  <c r="B50"/>
  <c r="G49"/>
  <c r="F49"/>
  <c r="E49"/>
  <c r="D49"/>
  <c r="C49"/>
  <c r="B49"/>
  <c r="G48"/>
  <c r="F48"/>
  <c r="E48"/>
  <c r="D48"/>
  <c r="C48"/>
  <c r="B48"/>
  <c r="G47"/>
  <c r="F47"/>
  <c r="E47"/>
  <c r="D47"/>
  <c r="C47"/>
  <c r="B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G23"/>
  <c r="F23"/>
  <c r="E23"/>
  <c r="D23"/>
  <c r="C23"/>
  <c r="B23"/>
  <c r="G22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8"/>
  <c r="F8"/>
  <c r="E8"/>
  <c r="D8"/>
  <c r="C8"/>
  <c r="B8"/>
  <c r="G7"/>
  <c r="F7"/>
  <c r="E7"/>
  <c r="D7"/>
  <c r="C7"/>
  <c r="B7"/>
  <c r="G6"/>
  <c r="F6"/>
  <c r="E6"/>
  <c r="D6"/>
  <c r="C6"/>
  <c r="B6"/>
  <c r="G5"/>
  <c r="F5"/>
  <c r="E5"/>
  <c r="D5"/>
  <c r="C5"/>
  <c r="B5"/>
  <c r="G55" i="1" l="1"/>
  <c r="G54"/>
  <c r="G53"/>
  <c r="G48"/>
  <c r="I47" l="1"/>
  <c r="G52"/>
  <c r="G50"/>
  <c r="G49"/>
  <c r="G47"/>
  <c r="F55"/>
  <c r="F54"/>
  <c r="F53"/>
  <c r="F51"/>
  <c r="F50"/>
  <c r="F49"/>
  <c r="F48"/>
  <c r="C47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E32"/>
  <c r="D32"/>
  <c r="C32"/>
  <c r="B32"/>
  <c r="G31"/>
  <c r="E31"/>
  <c r="D31"/>
  <c r="C31"/>
  <c r="B31"/>
  <c r="G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G23"/>
  <c r="F23"/>
  <c r="E23"/>
  <c r="D23"/>
  <c r="C23"/>
  <c r="B23"/>
  <c r="G22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8"/>
  <c r="F8"/>
  <c r="E8"/>
  <c r="D8"/>
  <c r="C8"/>
  <c r="B8"/>
  <c r="G7"/>
  <c r="F7"/>
  <c r="E7"/>
  <c r="D7"/>
  <c r="C7"/>
  <c r="B7"/>
  <c r="G6"/>
  <c r="F6"/>
  <c r="E6"/>
  <c r="D6"/>
  <c r="C6"/>
  <c r="B6"/>
  <c r="G5"/>
  <c r="F5"/>
  <c r="E5"/>
  <c r="D5"/>
  <c r="C5"/>
  <c r="B5"/>
  <c r="H4"/>
  <c r="G4"/>
  <c r="F4"/>
  <c r="E4"/>
  <c r="D4"/>
  <c r="B4"/>
</calcChain>
</file>

<file path=xl/sharedStrings.xml><?xml version="1.0" encoding="utf-8"?>
<sst xmlns="http://schemas.openxmlformats.org/spreadsheetml/2006/main" count="241" uniqueCount="48">
  <si>
    <t>Gwarancja</t>
  </si>
  <si>
    <t>Liczba przeglądów w okresie trwania umowy 01.08.2024 - 31.07.2028</t>
  </si>
  <si>
    <t>Cena 1 przeglądu netto</t>
  </si>
  <si>
    <t>Wartość netto w okresie trwania umowy</t>
  </si>
  <si>
    <t>Zespół Ratownictwa Medycznego Specjalistycznego P0207</t>
  </si>
  <si>
    <t>Wartość brutto w okresie trwania umowy</t>
  </si>
  <si>
    <t>SUMA:</t>
  </si>
  <si>
    <t>Lp.</t>
  </si>
  <si>
    <t>Szacowana wartość przeglądów</t>
  </si>
  <si>
    <t>Urządzenie do mechanicznej kompresji klatki piersiowej</t>
  </si>
  <si>
    <t>Stawka VAT</t>
  </si>
  <si>
    <t>Nazwa części</t>
  </si>
  <si>
    <t>akumulator</t>
  </si>
  <si>
    <t>Części wymieniane w trakcie przeglądu zgodnie z wymaganiami producenta</t>
  </si>
  <si>
    <t>co 2 lata</t>
  </si>
  <si>
    <t>Częstotliwość wymiany</t>
  </si>
  <si>
    <t>akumulator (jeden do każdego napędu)</t>
  </si>
  <si>
    <t>bateria systemowa co 4 lata</t>
  </si>
  <si>
    <t>Koszt netto 1szt. z wymianą</t>
  </si>
  <si>
    <t>Szacowana liczba szt. w okresie trwania umowy</t>
  </si>
  <si>
    <t>co 4 lata</t>
  </si>
  <si>
    <t xml:space="preserve">  Formularze Cenowe – Załącznik nr 9 SWZ       
       Zadanie 1 - Wykonywanie okresowych przeglądów technicznych defibrylatorów i urządzeń do mechanicznej kompresji klatki piersiowej
</t>
  </si>
  <si>
    <t>Wartość przeglądów</t>
  </si>
  <si>
    <t>-</t>
  </si>
  <si>
    <t>.............................................................................
/ miejscowość, data/ /podpisy, pieczątki-osób upoważnionych</t>
  </si>
  <si>
    <t>Przedmiot zamówienia</t>
  </si>
  <si>
    <t>Kwota podatku VAT</t>
  </si>
  <si>
    <t>Cena za 1 dojazd brutto</t>
  </si>
  <si>
    <t>DOJAZDY</t>
  </si>
  <si>
    <t xml:space="preserve"> DOJAZDY</t>
  </si>
  <si>
    <t xml:space="preserve">Cena za 1 dojazd netto 
[PLN]
</t>
  </si>
  <si>
    <t xml:space="preserve">Stawka podatku VAT
[%]
</t>
  </si>
  <si>
    <t xml:space="preserve">Stawka podatku
VAT (%)
</t>
  </si>
  <si>
    <t xml:space="preserve">Kwota
VAT
</t>
  </si>
  <si>
    <t xml:space="preserve">Wartość netto
w okresie trwania umowy  (48 misięcy) 
(kol. 3 x kol. 4)
</t>
  </si>
  <si>
    <t xml:space="preserve">Wartość brutto
w okresie 48  miesięcy
(kol. 8 + kol. 10)
</t>
  </si>
  <si>
    <t>Razem:</t>
  </si>
  <si>
    <t>x</t>
  </si>
  <si>
    <t xml:space="preserve">Razem cena oferty </t>
  </si>
  <si>
    <t>wartość brutto pln</t>
  </si>
  <si>
    <t>wartość netto pln</t>
  </si>
  <si>
    <t>...................................................................
/ miejscowość, data/ /podpisy, pieczątki-osób upoważnionych</t>
  </si>
  <si>
    <t>.................................................................
/ miejscowość, data/ /podpisy, pieczątki-osób upoważnionych</t>
  </si>
  <si>
    <t xml:space="preserve">Szacowana liczba dojazdów 
w okresie trwania umowy  (48 misięcy) </t>
  </si>
  <si>
    <t xml:space="preserve">  Formularze Cenowe – Załącznik nr 9 SWZ  
Zadanie 2 - Wykonywanie okresowych przeglądów technicznych pomp infuzyjnych prod. Medima  
   </t>
  </si>
  <si>
    <t xml:space="preserve">  Formularze Cenowe – Załącznik nr 9 SWZ  
Zadanie 3 - Wykonywanie okresowych przeglądów technicznych pomp infuzyjnych prod. Ascor</t>
  </si>
  <si>
    <t>Formularze Cenowe – Załącznik nr 9 SWZ  
Zadanie 4 - Wykonywanie okresowych przeglądów technicznych pomp infuzyjnych prod. Kwapisz</t>
  </si>
  <si>
    <t>Formularze Cenowe – Załącznik nr 9 SWZ  
Zadanie 5 - Wykonywanie okresowych przeglądów technicznych pomp infuzyjnych prod. Braun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</si>
</sst>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#,##0.00\ &quot;zł&quot;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7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 Black"/>
      <family val="2"/>
      <charset val="238"/>
    </font>
    <font>
      <sz val="14"/>
      <color theme="1"/>
      <name val="Arial Black"/>
      <family val="2"/>
      <charset val="238"/>
    </font>
    <font>
      <b/>
      <sz val="10.5"/>
      <color rgb="FF000000"/>
      <name val="Calibri"/>
      <family val="2"/>
      <charset val="238"/>
    </font>
    <font>
      <b/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</font>
    <font>
      <b/>
      <sz val="11"/>
      <color theme="1"/>
      <name val="Arial Black"/>
      <family val="2"/>
      <charset val="238"/>
    </font>
    <font>
      <sz val="11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99CCFF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4C7E7"/>
        <bgColor rgb="FFCCCCFF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0" fillId="0" borderId="1" xfId="0" applyBorder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 vertical="center"/>
    </xf>
    <xf numFmtId="165" fontId="1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1" fontId="0" fillId="0" borderId="1" xfId="0" applyNumberFormat="1" applyBorder="1" applyAlignment="1">
      <alignment horizontal="center"/>
    </xf>
    <xf numFmtId="2" fontId="0" fillId="0" borderId="1" xfId="0" applyNumberFormat="1" applyBorder="1"/>
    <xf numFmtId="4" fontId="1" fillId="3" borderId="1" xfId="0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5" borderId="1" xfId="0" applyFill="1" applyBorder="1" applyAlignment="1">
      <alignment horizontal="right" vertical="center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7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3" borderId="4" xfId="0" applyFont="1" applyFill="1" applyBorder="1" applyAlignment="1">
      <alignment horizontal="right"/>
    </xf>
    <xf numFmtId="0" fontId="1" fillId="3" borderId="5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4"/>
  <sheetViews>
    <sheetView showGridLines="0" zoomScale="120" zoomScaleNormal="120" workbookViewId="0">
      <pane ySplit="4" topLeftCell="A33" activePane="bottomLeft" state="frozen"/>
      <selection pane="bottomLeft" activeCell="C1" sqref="B1:M54"/>
    </sheetView>
  </sheetViews>
  <sheetFormatPr defaultRowHeight="15"/>
  <cols>
    <col min="1" max="1" width="3.85546875" style="14" customWidth="1"/>
    <col min="2" max="2" width="29.28515625" customWidth="1"/>
    <col min="3" max="3" width="14.85546875" customWidth="1"/>
    <col min="4" max="4" width="12.28515625" customWidth="1"/>
    <col min="5" max="5" width="11.28515625" customWidth="1"/>
    <col min="6" max="6" width="52.140625" customWidth="1"/>
    <col min="7" max="7" width="37.85546875" customWidth="1"/>
    <col min="8" max="8" width="11.85546875" customWidth="1"/>
    <col min="9" max="9" width="14.85546875" style="4" customWidth="1"/>
    <col min="11" max="11" width="13.5703125" customWidth="1"/>
    <col min="12" max="12" width="10.5703125" bestFit="1" customWidth="1"/>
    <col min="13" max="13" width="10.7109375" customWidth="1"/>
  </cols>
  <sheetData>
    <row r="1" spans="1:13">
      <c r="A1" s="30"/>
      <c r="B1" s="6"/>
      <c r="C1" s="6"/>
      <c r="D1" s="6"/>
      <c r="E1" s="6"/>
      <c r="F1" s="6"/>
      <c r="G1" s="6"/>
      <c r="H1" s="6"/>
      <c r="I1" s="13"/>
      <c r="J1" s="6"/>
      <c r="K1" s="6"/>
      <c r="L1" s="6"/>
      <c r="M1" s="6"/>
    </row>
    <row r="2" spans="1:13" ht="67.5" customHeight="1">
      <c r="A2" s="30"/>
      <c r="B2" s="53" t="s">
        <v>21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37.5" customHeight="1">
      <c r="A3" s="38"/>
      <c r="B3" s="6"/>
      <c r="C3" s="6"/>
      <c r="D3" s="6"/>
      <c r="E3" s="6"/>
      <c r="F3" s="6"/>
      <c r="G3" s="6"/>
      <c r="H3" s="6"/>
      <c r="I3" s="13"/>
      <c r="J3" s="55" t="s">
        <v>22</v>
      </c>
      <c r="K3" s="55"/>
      <c r="L3" s="55"/>
      <c r="M3" s="55"/>
    </row>
    <row r="4" spans="1:13" ht="78.75">
      <c r="A4" s="39" t="s">
        <v>7</v>
      </c>
      <c r="B4" s="23" t="str">
        <f>"Nazwa urządzenia"</f>
        <v>Nazwa urządzenia</v>
      </c>
      <c r="C4" s="23" t="str">
        <f>"Typ"</f>
        <v>Typ</v>
      </c>
      <c r="D4" s="23" t="str">
        <f>"Nr ser."</f>
        <v>Nr ser.</v>
      </c>
      <c r="E4" s="23" t="str">
        <f>"Nr inw."</f>
        <v>Nr inw.</v>
      </c>
      <c r="F4" s="23" t="str">
        <f>"Komórka organizacyjna"</f>
        <v>Komórka organizacyjna</v>
      </c>
      <c r="G4" s="23" t="str">
        <f>"Producent"</f>
        <v>Producent</v>
      </c>
      <c r="H4" s="23" t="str">
        <f>"Rok prod."</f>
        <v>Rok prod.</v>
      </c>
      <c r="I4" s="23" t="s">
        <v>0</v>
      </c>
      <c r="J4" s="16" t="s">
        <v>1</v>
      </c>
      <c r="K4" s="16" t="s">
        <v>2</v>
      </c>
      <c r="L4" s="16" t="s">
        <v>3</v>
      </c>
      <c r="M4" s="16" t="s">
        <v>5</v>
      </c>
    </row>
    <row r="5" spans="1:13">
      <c r="A5" s="30">
        <v>1</v>
      </c>
      <c r="B5" s="1" t="str">
        <f t="shared" ref="B5:B46" si="0">"Defibrylator"</f>
        <v>Defibrylator</v>
      </c>
      <c r="C5" s="1" t="str">
        <f>"LIFEPAK 12"</f>
        <v>LIFEPAK 12</v>
      </c>
      <c r="D5" s="1" t="str">
        <f>"32687782 "</f>
        <v xml:space="preserve">32687782 </v>
      </c>
      <c r="E5" s="1" t="str">
        <f>"802/68/P"</f>
        <v>802/68/P</v>
      </c>
      <c r="F5" s="1" t="str">
        <f>"Blok Operacyjny"</f>
        <v>Blok Operacyjny</v>
      </c>
      <c r="G5" s="1" t="str">
        <f t="shared" ref="G5:G12" si="1">"MEDTRONIC PHYSIO-CONTROL Corp.-USA"</f>
        <v>MEDTRONIC PHYSIO-CONTROL Corp.-USA</v>
      </c>
      <c r="H5" s="1">
        <v>2004</v>
      </c>
      <c r="I5" s="3" t="s">
        <v>23</v>
      </c>
      <c r="J5" s="3">
        <v>4</v>
      </c>
      <c r="K5" s="2"/>
      <c r="L5" s="2"/>
      <c r="M5" s="2"/>
    </row>
    <row r="6" spans="1:13">
      <c r="A6" s="30">
        <v>2</v>
      </c>
      <c r="B6" s="1" t="str">
        <f t="shared" si="0"/>
        <v>Defibrylator</v>
      </c>
      <c r="C6" s="1" t="str">
        <f>"LIFEPAK 12"</f>
        <v>LIFEPAK 12</v>
      </c>
      <c r="D6" s="1" t="str">
        <f>"32737303 "</f>
        <v xml:space="preserve">32737303 </v>
      </c>
      <c r="E6" s="1" t="str">
        <f>"802/36/P"</f>
        <v>802/36/P</v>
      </c>
      <c r="F6" s="1" t="str">
        <f>"Blok Operacyjny"</f>
        <v>Blok Operacyjny</v>
      </c>
      <c r="G6" s="1" t="str">
        <f t="shared" si="1"/>
        <v>MEDTRONIC PHYSIO-CONTROL Corp.-USA</v>
      </c>
      <c r="H6" s="1">
        <v>2004</v>
      </c>
      <c r="I6" s="3" t="s">
        <v>23</v>
      </c>
      <c r="J6" s="3">
        <v>4</v>
      </c>
      <c r="K6" s="2"/>
      <c r="L6" s="2"/>
      <c r="M6" s="2"/>
    </row>
    <row r="7" spans="1:13">
      <c r="A7" s="30">
        <v>3</v>
      </c>
      <c r="B7" s="1" t="str">
        <f t="shared" si="0"/>
        <v>Defibrylator</v>
      </c>
      <c r="C7" s="1" t="str">
        <f>"LIFEPAK 20"</f>
        <v>LIFEPAK 20</v>
      </c>
      <c r="D7" s="1" t="str">
        <f>"31731617"</f>
        <v>31731617</v>
      </c>
      <c r="E7" s="1" t="str">
        <f>"802/840"</f>
        <v>802/840</v>
      </c>
      <c r="F7" s="1" t="str">
        <f>"Oddział Kardiologiczny D"</f>
        <v>Oddział Kardiologiczny D</v>
      </c>
      <c r="G7" s="1" t="str">
        <f t="shared" si="1"/>
        <v>MEDTRONIC PHYSIO-CONTROL Corp.-USA</v>
      </c>
      <c r="H7" s="1">
        <v>2004</v>
      </c>
      <c r="I7" s="3" t="s">
        <v>23</v>
      </c>
      <c r="J7" s="3">
        <v>4</v>
      </c>
      <c r="K7" s="2"/>
      <c r="L7" s="2"/>
      <c r="M7" s="2"/>
    </row>
    <row r="8" spans="1:13">
      <c r="A8" s="30">
        <v>4</v>
      </c>
      <c r="B8" s="1" t="str">
        <f t="shared" si="0"/>
        <v>Defibrylator</v>
      </c>
      <c r="C8" s="1" t="str">
        <f>"LIFEPAK 500"</f>
        <v>LIFEPAK 500</v>
      </c>
      <c r="D8" s="1" t="str">
        <f>"31669004"</f>
        <v>31669004</v>
      </c>
      <c r="E8" s="1" t="str">
        <f>"802/837"</f>
        <v>802/837</v>
      </c>
      <c r="F8" s="1" t="str">
        <f>"Oddział Neurologiczny"</f>
        <v>Oddział Neurologiczny</v>
      </c>
      <c r="G8" s="1" t="str">
        <f t="shared" si="1"/>
        <v>MEDTRONIC PHYSIO-CONTROL Corp.-USA</v>
      </c>
      <c r="H8" s="1">
        <v>2004</v>
      </c>
      <c r="I8" s="3" t="s">
        <v>23</v>
      </c>
      <c r="J8" s="3">
        <v>4</v>
      </c>
      <c r="K8" s="2"/>
      <c r="L8" s="2"/>
      <c r="M8" s="2"/>
    </row>
    <row r="9" spans="1:13">
      <c r="A9" s="30">
        <v>5</v>
      </c>
      <c r="B9" s="1" t="str">
        <f t="shared" si="0"/>
        <v>Defibrylator</v>
      </c>
      <c r="C9" s="1" t="str">
        <f>"LIFEPAK 20"</f>
        <v>LIFEPAK 20</v>
      </c>
      <c r="D9" s="1" t="str">
        <f>"32184640"</f>
        <v>32184640</v>
      </c>
      <c r="E9" s="1" t="str">
        <f>"802/839"</f>
        <v>802/839</v>
      </c>
      <c r="F9" s="1" t="str">
        <f>"Pracownia Hemodynamiki"</f>
        <v>Pracownia Hemodynamiki</v>
      </c>
      <c r="G9" s="1" t="str">
        <f t="shared" si="1"/>
        <v>MEDTRONIC PHYSIO-CONTROL Corp.-USA</v>
      </c>
      <c r="H9" s="1">
        <v>2004</v>
      </c>
      <c r="I9" s="3" t="s">
        <v>23</v>
      </c>
      <c r="J9" s="3">
        <v>4</v>
      </c>
      <c r="K9" s="2"/>
      <c r="L9" s="2"/>
      <c r="M9" s="2"/>
    </row>
    <row r="10" spans="1:13">
      <c r="A10" s="30">
        <v>6</v>
      </c>
      <c r="B10" s="1" t="str">
        <f t="shared" si="0"/>
        <v>Defibrylator</v>
      </c>
      <c r="C10" s="1" t="str">
        <f>"LIFEPAK 12"</f>
        <v>LIFEPAK 12</v>
      </c>
      <c r="D10" s="1" t="str">
        <f>"38456667 "</f>
        <v xml:space="preserve">38456667 </v>
      </c>
      <c r="E10" s="1" t="str">
        <f>"802/55/P"</f>
        <v>802/55/P</v>
      </c>
      <c r="F10" s="1" t="str">
        <f>"Blok Operacyjny"</f>
        <v>Blok Operacyjny</v>
      </c>
      <c r="G10" s="1" t="str">
        <f t="shared" si="1"/>
        <v>MEDTRONIC PHYSIO-CONTROL Corp.-USA</v>
      </c>
      <c r="H10" s="1">
        <v>2009</v>
      </c>
      <c r="I10" s="3" t="s">
        <v>23</v>
      </c>
      <c r="J10" s="3">
        <v>4</v>
      </c>
      <c r="K10" s="2"/>
      <c r="L10" s="2"/>
      <c r="M10" s="2"/>
    </row>
    <row r="11" spans="1:13">
      <c r="A11" s="30">
        <v>7</v>
      </c>
      <c r="B11" s="1" t="str">
        <f t="shared" si="0"/>
        <v>Defibrylator</v>
      </c>
      <c r="C11" s="1" t="str">
        <f>"LIFEPAK 12"</f>
        <v>LIFEPAK 12</v>
      </c>
      <c r="D11" s="1" t="str">
        <f>"37586191 "</f>
        <v xml:space="preserve">37586191 </v>
      </c>
      <c r="E11" s="1" t="str">
        <f>"802/52/P"</f>
        <v>802/52/P</v>
      </c>
      <c r="F11" s="1" t="str">
        <f>"Oddział Urologiczny"</f>
        <v>Oddział Urologiczny</v>
      </c>
      <c r="G11" s="1" t="str">
        <f t="shared" si="1"/>
        <v>MEDTRONIC PHYSIO-CONTROL Corp.-USA</v>
      </c>
      <c r="H11" s="1">
        <v>2009</v>
      </c>
      <c r="I11" s="3" t="s">
        <v>23</v>
      </c>
      <c r="J11" s="3">
        <v>4</v>
      </c>
      <c r="K11" s="2"/>
      <c r="L11" s="2"/>
      <c r="M11" s="2"/>
    </row>
    <row r="12" spans="1:13">
      <c r="A12" s="30">
        <v>8</v>
      </c>
      <c r="B12" s="1" t="str">
        <f t="shared" si="0"/>
        <v>Defibrylator</v>
      </c>
      <c r="C12" s="1" t="str">
        <f>"LIFEPAK 12"</f>
        <v>LIFEPAK 12</v>
      </c>
      <c r="D12" s="1" t="str">
        <f>"38797067 "</f>
        <v xml:space="preserve">38797067 </v>
      </c>
      <c r="E12" s="1" t="str">
        <f>"802/67/P"</f>
        <v>802/67/P</v>
      </c>
      <c r="F12" s="1" t="str">
        <f>"Zespół Ratownictwa Medycznego
 Podstawowy P0226"</f>
        <v>Zespół Ratownictwa Medycznego
 Podstawowy P0226</v>
      </c>
      <c r="G12" s="1" t="str">
        <f t="shared" si="1"/>
        <v>MEDTRONIC PHYSIO-CONTROL Corp.-USA</v>
      </c>
      <c r="H12" s="1">
        <v>2010</v>
      </c>
      <c r="I12" s="3" t="s">
        <v>23</v>
      </c>
      <c r="J12" s="3">
        <v>4</v>
      </c>
      <c r="K12" s="2"/>
      <c r="L12" s="2"/>
      <c r="M12" s="2"/>
    </row>
    <row r="13" spans="1:13">
      <c r="A13" s="30">
        <v>9</v>
      </c>
      <c r="B13" s="1" t="str">
        <f t="shared" si="0"/>
        <v>Defibrylator</v>
      </c>
      <c r="C13" s="1" t="str">
        <f>"LIFEPAK 20e"</f>
        <v>LIFEPAK 20e</v>
      </c>
      <c r="D13" s="1" t="str">
        <f>"40100983 "</f>
        <v xml:space="preserve">40100983 </v>
      </c>
      <c r="E13" s="1" t="str">
        <f>"802/1330"</f>
        <v>802/1330</v>
      </c>
      <c r="F13" s="1" t="str">
        <f>"Blok Operacyjny"</f>
        <v>Blok Operacyjny</v>
      </c>
      <c r="G13" s="1" t="str">
        <f>"PHYSIO CONTROL"</f>
        <v>PHYSIO CONTROL</v>
      </c>
      <c r="H13" s="1">
        <v>2011</v>
      </c>
      <c r="I13" s="3" t="s">
        <v>23</v>
      </c>
      <c r="J13" s="3">
        <v>4</v>
      </c>
      <c r="K13" s="2"/>
      <c r="L13" s="2"/>
      <c r="M13" s="2"/>
    </row>
    <row r="14" spans="1:13">
      <c r="A14" s="30">
        <v>10</v>
      </c>
      <c r="B14" s="1" t="str">
        <f t="shared" si="0"/>
        <v>Defibrylator</v>
      </c>
      <c r="C14" s="1" t="str">
        <f>"LIFEPAK 20e"</f>
        <v>LIFEPAK 20e</v>
      </c>
      <c r="D14" s="1" t="str">
        <f>"40100918 "</f>
        <v xml:space="preserve">40100918 </v>
      </c>
      <c r="E14" s="1" t="str">
        <f>"802/1329"</f>
        <v>802/1329</v>
      </c>
      <c r="F14" s="1" t="str">
        <f>"Oddział Chorób Wewnętrznych I"</f>
        <v>Oddział Chorób Wewnętrznych I</v>
      </c>
      <c r="G14" s="1" t="str">
        <f>"PHYSIO CONTROL"</f>
        <v>PHYSIO CONTROL</v>
      </c>
      <c r="H14" s="1">
        <v>2011</v>
      </c>
      <c r="I14" s="3" t="s">
        <v>23</v>
      </c>
      <c r="J14" s="3">
        <v>4</v>
      </c>
      <c r="K14" s="2"/>
      <c r="L14" s="2"/>
      <c r="M14" s="2"/>
    </row>
    <row r="15" spans="1:13">
      <c r="A15" s="30">
        <v>11</v>
      </c>
      <c r="B15" s="1" t="str">
        <f t="shared" si="0"/>
        <v>Defibrylator</v>
      </c>
      <c r="C15" s="1" t="str">
        <f>"LIFEPAK 20e"</f>
        <v>LIFEPAK 20e</v>
      </c>
      <c r="D15" s="1" t="str">
        <f>"40155170 "</f>
        <v xml:space="preserve">40155170 </v>
      </c>
      <c r="E15" s="1" t="str">
        <f>"802/1328"</f>
        <v>802/1328</v>
      </c>
      <c r="F15" s="1" t="str">
        <f>"Oddział Chorób Wewnętrznych I"</f>
        <v>Oddział Chorób Wewnętrznych I</v>
      </c>
      <c r="G15" s="1" t="str">
        <f>"PHYSIO CONTROL"</f>
        <v>PHYSIO CONTROL</v>
      </c>
      <c r="H15" s="1">
        <v>2011</v>
      </c>
      <c r="I15" s="3" t="s">
        <v>23</v>
      </c>
      <c r="J15" s="3">
        <v>4</v>
      </c>
      <c r="K15" s="2"/>
      <c r="L15" s="2"/>
      <c r="M15" s="2"/>
    </row>
    <row r="16" spans="1:13">
      <c r="A16" s="30">
        <v>12</v>
      </c>
      <c r="B16" s="1" t="str">
        <f t="shared" si="0"/>
        <v>Defibrylator</v>
      </c>
      <c r="C16" s="1" t="str">
        <f>"LIFEPAK 20e"</f>
        <v>LIFEPAK 20e</v>
      </c>
      <c r="D16" s="1" t="str">
        <f>"40100717 "</f>
        <v xml:space="preserve">40100717 </v>
      </c>
      <c r="E16" s="1" t="str">
        <f>"802/1332"</f>
        <v>802/1332</v>
      </c>
      <c r="F16" s="1" t="str">
        <f>"Oddział Kardiologiczny A"</f>
        <v>Oddział Kardiologiczny A</v>
      </c>
      <c r="G16" s="1" t="str">
        <f>"PHYSIO CONTROL"</f>
        <v>PHYSIO CONTROL</v>
      </c>
      <c r="H16" s="1">
        <v>2011</v>
      </c>
      <c r="I16" s="3" t="s">
        <v>23</v>
      </c>
      <c r="J16" s="3">
        <v>4</v>
      </c>
      <c r="K16" s="2"/>
      <c r="L16" s="2"/>
      <c r="M16" s="2"/>
    </row>
    <row r="17" spans="1:13">
      <c r="A17" s="30">
        <v>13</v>
      </c>
      <c r="B17" s="1" t="str">
        <f t="shared" si="0"/>
        <v>Defibrylator</v>
      </c>
      <c r="C17" s="1" t="str">
        <f>"LIFEPAK 20"</f>
        <v>LIFEPAK 20</v>
      </c>
      <c r="D17" s="1" t="str">
        <f>"39280345 "</f>
        <v xml:space="preserve">39280345 </v>
      </c>
      <c r="E17" s="1" t="str">
        <f>"802/1224"</f>
        <v>802/1224</v>
      </c>
      <c r="F17" s="1" t="str">
        <f>"Poradnia Kardiologiczna"</f>
        <v>Poradnia Kardiologiczna</v>
      </c>
      <c r="G17" s="1" t="str">
        <f>"MEDTRONIC PHYSIO-CONTROL Corp.-USA"</f>
        <v>MEDTRONIC PHYSIO-CONTROL Corp.-USA</v>
      </c>
      <c r="H17" s="1">
        <v>2011</v>
      </c>
      <c r="I17" s="3" t="s">
        <v>23</v>
      </c>
      <c r="J17" s="3">
        <v>4</v>
      </c>
      <c r="K17" s="2"/>
      <c r="L17" s="2"/>
      <c r="M17" s="2"/>
    </row>
    <row r="18" spans="1:13">
      <c r="A18" s="30">
        <v>14</v>
      </c>
      <c r="B18" s="1" t="str">
        <f t="shared" si="0"/>
        <v>Defibrylator</v>
      </c>
      <c r="C18" s="1" t="str">
        <f>"LIFEPAK 20e"</f>
        <v>LIFEPAK 20e</v>
      </c>
      <c r="D18" s="1" t="str">
        <f>"39636019 "</f>
        <v xml:space="preserve">39636019 </v>
      </c>
      <c r="E18" s="1" t="str">
        <f>"802/1311"</f>
        <v>802/1311</v>
      </c>
      <c r="F18" s="1" t="str">
        <f>"Pracownia Hemodynamiki"</f>
        <v>Pracownia Hemodynamiki</v>
      </c>
      <c r="G18" s="1" t="str">
        <f>"PHYSIO CONTROL"</f>
        <v>PHYSIO CONTROL</v>
      </c>
      <c r="H18" s="1">
        <v>2011</v>
      </c>
      <c r="I18" s="3" t="s">
        <v>23</v>
      </c>
      <c r="J18" s="3">
        <v>4</v>
      </c>
      <c r="K18" s="2"/>
      <c r="L18" s="2"/>
      <c r="M18" s="2"/>
    </row>
    <row r="19" spans="1:13">
      <c r="A19" s="30">
        <v>15</v>
      </c>
      <c r="B19" s="1" t="str">
        <f t="shared" si="0"/>
        <v>Defibrylator</v>
      </c>
      <c r="C19" s="1" t="str">
        <f>"LIFEPAK 20"</f>
        <v>LIFEPAK 20</v>
      </c>
      <c r="D19" s="1" t="str">
        <f>"39280338 "</f>
        <v xml:space="preserve">39280338 </v>
      </c>
      <c r="E19" s="1" t="str">
        <f>"802/1253"</f>
        <v>802/1253</v>
      </c>
      <c r="F19" s="1" t="str">
        <f>"Szpitalny Oddział Ratunkowy"</f>
        <v>Szpitalny Oddział Ratunkowy</v>
      </c>
      <c r="G19" s="1" t="str">
        <f>"MEDTRONIC PHYSIO-CONTROL Corp.-USA"</f>
        <v>MEDTRONIC PHYSIO-CONTROL Corp.-USA</v>
      </c>
      <c r="H19" s="1">
        <v>2011</v>
      </c>
      <c r="I19" s="3" t="s">
        <v>23</v>
      </c>
      <c r="J19" s="3">
        <v>4</v>
      </c>
      <c r="K19" s="2"/>
      <c r="L19" s="2"/>
      <c r="M19" s="2"/>
    </row>
    <row r="20" spans="1:13">
      <c r="A20" s="30">
        <v>16</v>
      </c>
      <c r="B20" s="1" t="str">
        <f t="shared" si="0"/>
        <v>Defibrylator</v>
      </c>
      <c r="C20" s="1" t="str">
        <f>"LIFEPAK 20"</f>
        <v>LIFEPAK 20</v>
      </c>
      <c r="D20" s="1" t="str">
        <f>"39280344 "</f>
        <v xml:space="preserve">39280344 </v>
      </c>
      <c r="E20" s="1" t="str">
        <f>"802/1252"</f>
        <v>802/1252</v>
      </c>
      <c r="F20" s="1" t="str">
        <f>"Szpitalny Oddział Ratunkowy"</f>
        <v>Szpitalny Oddział Ratunkowy</v>
      </c>
      <c r="G20" s="1" t="str">
        <f>"MEDTRONIC PHYSIO-CONTROL Corp.-USA"</f>
        <v>MEDTRONIC PHYSIO-CONTROL Corp.-USA</v>
      </c>
      <c r="H20" s="1">
        <v>2011</v>
      </c>
      <c r="I20" s="3" t="s">
        <v>23</v>
      </c>
      <c r="J20" s="3">
        <v>4</v>
      </c>
      <c r="K20" s="2"/>
      <c r="L20" s="2"/>
      <c r="M20" s="2"/>
    </row>
    <row r="21" spans="1:13">
      <c r="A21" s="30">
        <v>17</v>
      </c>
      <c r="B21" s="1" t="str">
        <f t="shared" si="0"/>
        <v>Defibrylator</v>
      </c>
      <c r="C21" s="1" t="str">
        <f t="shared" ref="C21:C29" si="2">"LIFEPAK 20e"</f>
        <v>LIFEPAK 20e</v>
      </c>
      <c r="D21" s="1" t="str">
        <f>"40100679 "</f>
        <v xml:space="preserve">40100679 </v>
      </c>
      <c r="E21" s="1" t="str">
        <f>"802/1331"</f>
        <v>802/1331</v>
      </c>
      <c r="F21" s="1" t="str">
        <f>"Szpitalny Oddział Ratunkowy"</f>
        <v>Szpitalny Oddział Ratunkowy</v>
      </c>
      <c r="G21" s="1" t="str">
        <f t="shared" ref="G21:G36" si="3">"PHYSIO CONTROL"</f>
        <v>PHYSIO CONTROL</v>
      </c>
      <c r="H21" s="1">
        <v>2011</v>
      </c>
      <c r="I21" s="3" t="s">
        <v>23</v>
      </c>
      <c r="J21" s="3">
        <v>4</v>
      </c>
      <c r="K21" s="2"/>
      <c r="L21" s="2"/>
      <c r="M21" s="2"/>
    </row>
    <row r="22" spans="1:13">
      <c r="A22" s="30">
        <v>18</v>
      </c>
      <c r="B22" s="1" t="str">
        <f t="shared" si="0"/>
        <v>Defibrylator</v>
      </c>
      <c r="C22" s="1" t="str">
        <f t="shared" si="2"/>
        <v>LIFEPAK 20e</v>
      </c>
      <c r="D22" s="1" t="str">
        <f>"40982728 "</f>
        <v xml:space="preserve">40982728 </v>
      </c>
      <c r="E22" s="1" t="str">
        <f>"802/1416"</f>
        <v>802/1416</v>
      </c>
      <c r="F22" s="1" t="str">
        <f>"Oddział Anestezjologii i Intensywnej Terapii"</f>
        <v>Oddział Anestezjologii i Intensywnej Terapii</v>
      </c>
      <c r="G22" s="1" t="str">
        <f t="shared" si="3"/>
        <v>PHYSIO CONTROL</v>
      </c>
      <c r="H22" s="1">
        <v>2012</v>
      </c>
      <c r="I22" s="3" t="s">
        <v>23</v>
      </c>
      <c r="J22" s="3">
        <v>4</v>
      </c>
      <c r="K22" s="2"/>
      <c r="L22" s="2"/>
      <c r="M22" s="2"/>
    </row>
    <row r="23" spans="1:13">
      <c r="A23" s="30">
        <v>19</v>
      </c>
      <c r="B23" s="1" t="str">
        <f t="shared" si="0"/>
        <v>Defibrylator</v>
      </c>
      <c r="C23" s="1" t="str">
        <f t="shared" si="2"/>
        <v>LIFEPAK 20e</v>
      </c>
      <c r="D23" s="1" t="str">
        <f>"40155263 "</f>
        <v xml:space="preserve">40155263 </v>
      </c>
      <c r="E23" s="1" t="str">
        <f>"802/1327"</f>
        <v>802/1327</v>
      </c>
      <c r="F23" s="1" t="str">
        <f>"Oddział Neurologiczny"</f>
        <v>Oddział Neurologiczny</v>
      </c>
      <c r="G23" s="1" t="str">
        <f t="shared" si="3"/>
        <v>PHYSIO CONTROL</v>
      </c>
      <c r="H23" s="1">
        <v>2012</v>
      </c>
      <c r="I23" s="3" t="s">
        <v>23</v>
      </c>
      <c r="J23" s="3">
        <v>4</v>
      </c>
      <c r="K23" s="2"/>
      <c r="L23" s="2"/>
      <c r="M23" s="2"/>
    </row>
    <row r="24" spans="1:13">
      <c r="A24" s="30">
        <v>20</v>
      </c>
      <c r="B24" s="1" t="str">
        <f t="shared" si="0"/>
        <v>Defibrylator</v>
      </c>
      <c r="C24" s="1" t="str">
        <f t="shared" si="2"/>
        <v>LIFEPAK 20e</v>
      </c>
      <c r="D24" s="1" t="str">
        <f>"44652012 "</f>
        <v xml:space="preserve">44652012 </v>
      </c>
      <c r="E24" s="1" t="str">
        <f>"802/1635"</f>
        <v>802/1635</v>
      </c>
      <c r="F24" s="1" t="str">
        <f>"Blok Operacyjny - Toruńska"</f>
        <v>Blok Operacyjny - Toruńska</v>
      </c>
      <c r="G24" s="1" t="str">
        <f t="shared" si="3"/>
        <v>PHYSIO CONTROL</v>
      </c>
      <c r="H24" s="1">
        <v>2016</v>
      </c>
      <c r="I24" s="3" t="s">
        <v>23</v>
      </c>
      <c r="J24" s="3">
        <v>4</v>
      </c>
      <c r="K24" s="2"/>
      <c r="L24" s="2"/>
      <c r="M24" s="2"/>
    </row>
    <row r="25" spans="1:13">
      <c r="A25" s="30">
        <v>21</v>
      </c>
      <c r="B25" s="1" t="str">
        <f t="shared" si="0"/>
        <v>Defibrylator</v>
      </c>
      <c r="C25" s="1" t="str">
        <f t="shared" si="2"/>
        <v>LIFEPAK 20e</v>
      </c>
      <c r="D25" s="1" t="str">
        <f>"44688581"</f>
        <v>44688581</v>
      </c>
      <c r="E25" s="1" t="str">
        <f>"802/1636"</f>
        <v>802/1636</v>
      </c>
      <c r="F25" s="1" t="str">
        <f>"Nocna i Świąteczna Opieka Zdrowotna"</f>
        <v>Nocna i Świąteczna Opieka Zdrowotna</v>
      </c>
      <c r="G25" s="1" t="str">
        <f t="shared" si="3"/>
        <v>PHYSIO CONTROL</v>
      </c>
      <c r="H25" s="1">
        <v>2016</v>
      </c>
      <c r="I25" s="3" t="s">
        <v>23</v>
      </c>
      <c r="J25" s="3">
        <v>4</v>
      </c>
      <c r="K25" s="2"/>
      <c r="L25" s="2"/>
      <c r="M25" s="2"/>
    </row>
    <row r="26" spans="1:13">
      <c r="A26" s="30">
        <v>22</v>
      </c>
      <c r="B26" s="1" t="str">
        <f t="shared" si="0"/>
        <v>Defibrylator</v>
      </c>
      <c r="C26" s="1" t="str">
        <f t="shared" si="2"/>
        <v>LIFEPAK 20e</v>
      </c>
      <c r="D26" s="1" t="str">
        <f>"44651190 "</f>
        <v xml:space="preserve">44651190 </v>
      </c>
      <c r="E26" s="1" t="str">
        <f>"802/1638"</f>
        <v>802/1638</v>
      </c>
      <c r="F26" s="1" t="str">
        <f>"Oddział Gastroenterologiczny"</f>
        <v>Oddział Gastroenterologiczny</v>
      </c>
      <c r="G26" s="1" t="str">
        <f t="shared" si="3"/>
        <v>PHYSIO CONTROL</v>
      </c>
      <c r="H26" s="1">
        <v>2016</v>
      </c>
      <c r="I26" s="3" t="s">
        <v>23</v>
      </c>
      <c r="J26" s="3">
        <v>4</v>
      </c>
      <c r="K26" s="2"/>
      <c r="L26" s="2"/>
      <c r="M26" s="2"/>
    </row>
    <row r="27" spans="1:13">
      <c r="A27" s="30">
        <v>23</v>
      </c>
      <c r="B27" s="1" t="str">
        <f t="shared" si="0"/>
        <v>Defibrylator</v>
      </c>
      <c r="C27" s="1" t="str">
        <f t="shared" si="2"/>
        <v>LIFEPAK 20e</v>
      </c>
      <c r="D27" s="1" t="str">
        <f>"44667579 "</f>
        <v xml:space="preserve">44667579 </v>
      </c>
      <c r="E27" s="1" t="str">
        <f>"802/1637"</f>
        <v>802/1637</v>
      </c>
      <c r="F27" s="1" t="str">
        <f>"Oddział Gastroenterologii Dziecięcej"</f>
        <v>Oddział Gastroenterologii Dziecięcej</v>
      </c>
      <c r="G27" s="1" t="str">
        <f t="shared" si="3"/>
        <v>PHYSIO CONTROL</v>
      </c>
      <c r="H27" s="1">
        <v>2016</v>
      </c>
      <c r="I27" s="3" t="s">
        <v>23</v>
      </c>
      <c r="J27" s="3">
        <v>4</v>
      </c>
      <c r="K27" s="2"/>
      <c r="L27" s="2"/>
      <c r="M27" s="2"/>
    </row>
    <row r="28" spans="1:13">
      <c r="A28" s="30">
        <v>24</v>
      </c>
      <c r="B28" s="1" t="str">
        <f t="shared" si="0"/>
        <v>Defibrylator</v>
      </c>
      <c r="C28" s="1" t="str">
        <f t="shared" si="2"/>
        <v>LIFEPAK 20e</v>
      </c>
      <c r="D28" s="1" t="str">
        <f>"45232535"</f>
        <v>45232535</v>
      </c>
      <c r="E28" s="1" t="str">
        <f>"802/1739"</f>
        <v>802/1739</v>
      </c>
      <c r="F28" s="1" t="str">
        <f>"Oddział Kardiologiczny A"</f>
        <v>Oddział Kardiologiczny A</v>
      </c>
      <c r="G28" s="1" t="str">
        <f t="shared" si="3"/>
        <v>PHYSIO CONTROL</v>
      </c>
      <c r="H28" s="1">
        <v>2016</v>
      </c>
      <c r="I28" s="3" t="s">
        <v>23</v>
      </c>
      <c r="J28" s="3">
        <v>4</v>
      </c>
      <c r="K28" s="2"/>
      <c r="L28" s="2"/>
      <c r="M28" s="2"/>
    </row>
    <row r="29" spans="1:13">
      <c r="A29" s="30">
        <v>25</v>
      </c>
      <c r="B29" s="1" t="str">
        <f t="shared" si="0"/>
        <v>Defibrylator</v>
      </c>
      <c r="C29" s="1" t="str">
        <f t="shared" si="2"/>
        <v>LIFEPAK 20e</v>
      </c>
      <c r="D29" s="1" t="str">
        <f>"44669314 "</f>
        <v xml:space="preserve">44669314 </v>
      </c>
      <c r="E29" s="1" t="str">
        <f>"802/1634"</f>
        <v>802/1634</v>
      </c>
      <c r="F29" s="1" t="str">
        <f>"Oddział Onkologii Klinicznej"</f>
        <v>Oddział Onkologii Klinicznej</v>
      </c>
      <c r="G29" s="1" t="str">
        <f t="shared" si="3"/>
        <v>PHYSIO CONTROL</v>
      </c>
      <c r="H29" s="1">
        <v>2016</v>
      </c>
      <c r="I29" s="3" t="s">
        <v>23</v>
      </c>
      <c r="J29" s="3">
        <v>4</v>
      </c>
      <c r="K29" s="2"/>
      <c r="L29" s="2"/>
      <c r="M29" s="2"/>
    </row>
    <row r="30" spans="1:13" ht="27" customHeight="1">
      <c r="A30" s="30">
        <v>26</v>
      </c>
      <c r="B30" s="1" t="str">
        <f t="shared" si="0"/>
        <v>Defibrylator</v>
      </c>
      <c r="C30" s="1" t="str">
        <f t="shared" ref="C30:C36" si="4">"Lifepak 15"</f>
        <v>Lifepak 15</v>
      </c>
      <c r="D30" s="1" t="str">
        <f>"44662729 "</f>
        <v xml:space="preserve">44662729 </v>
      </c>
      <c r="E30" s="1" t="str">
        <f>"802/1631"</f>
        <v>802/1631</v>
      </c>
      <c r="F30" s="1" t="str">
        <f>"Zespół Ratownictwa
 Medycznego Podstawowy P0218"</f>
        <v>Zespół Ratownictwa
 Medycznego Podstawowy P0218</v>
      </c>
      <c r="G30" s="1" t="str">
        <f t="shared" si="3"/>
        <v>PHYSIO CONTROL</v>
      </c>
      <c r="H30" s="1">
        <v>2016</v>
      </c>
      <c r="I30" s="3" t="s">
        <v>23</v>
      </c>
      <c r="J30" s="3">
        <v>4</v>
      </c>
      <c r="K30" s="2"/>
      <c r="L30" s="2"/>
      <c r="M30" s="2"/>
    </row>
    <row r="31" spans="1:13">
      <c r="A31" s="30">
        <v>27</v>
      </c>
      <c r="B31" s="1" t="str">
        <f t="shared" si="0"/>
        <v>Defibrylator</v>
      </c>
      <c r="C31" s="1" t="str">
        <f t="shared" si="4"/>
        <v>Lifepak 15</v>
      </c>
      <c r="D31" s="1" t="str">
        <f>"44662887 "</f>
        <v xml:space="preserve">44662887 </v>
      </c>
      <c r="E31" s="1" t="str">
        <f>"802/1627"</f>
        <v>802/1627</v>
      </c>
      <c r="F31" s="1" t="str">
        <f>"Zespół Ratownictwa Medycznego Podstawowy P0220"</f>
        <v>Zespół Ratownictwa Medycznego Podstawowy P0220</v>
      </c>
      <c r="G31" s="1" t="str">
        <f t="shared" si="3"/>
        <v>PHYSIO CONTROL</v>
      </c>
      <c r="H31" s="1">
        <v>2016</v>
      </c>
      <c r="I31" s="3" t="s">
        <v>23</v>
      </c>
      <c r="J31" s="3">
        <v>4</v>
      </c>
      <c r="K31" s="2"/>
      <c r="L31" s="2"/>
      <c r="M31" s="2"/>
    </row>
    <row r="32" spans="1:13">
      <c r="A32" s="30">
        <v>28</v>
      </c>
      <c r="B32" s="1" t="str">
        <f t="shared" si="0"/>
        <v>Defibrylator</v>
      </c>
      <c r="C32" s="1" t="str">
        <f t="shared" si="4"/>
        <v>Lifepak 15</v>
      </c>
      <c r="D32" s="1" t="str">
        <f>"44662860 "</f>
        <v xml:space="preserve">44662860 </v>
      </c>
      <c r="E32" s="1" t="str">
        <f>"802/1626"</f>
        <v>802/1626</v>
      </c>
      <c r="F32" s="1" t="str">
        <f>"Zespół Ratownictwa Medycznego Podstawowy P0222"</f>
        <v>Zespół Ratownictwa Medycznego Podstawowy P0222</v>
      </c>
      <c r="G32" s="1" t="str">
        <f t="shared" si="3"/>
        <v>PHYSIO CONTROL</v>
      </c>
      <c r="H32" s="1">
        <v>2016</v>
      </c>
      <c r="I32" s="3" t="s">
        <v>23</v>
      </c>
      <c r="J32" s="3">
        <v>4</v>
      </c>
      <c r="K32" s="2"/>
      <c r="L32" s="2"/>
      <c r="M32" s="2"/>
    </row>
    <row r="33" spans="1:13">
      <c r="A33" s="30">
        <v>29</v>
      </c>
      <c r="B33" s="1" t="str">
        <f t="shared" si="0"/>
        <v>Defibrylator</v>
      </c>
      <c r="C33" s="1" t="str">
        <f t="shared" si="4"/>
        <v>Lifepak 15</v>
      </c>
      <c r="D33" s="1" t="str">
        <f>"44662767 "</f>
        <v xml:space="preserve">44662767 </v>
      </c>
      <c r="E33" s="1" t="str">
        <f>"802/1629"</f>
        <v>802/1629</v>
      </c>
      <c r="F33" s="1" t="str">
        <f>"Zespół Ratownictwa Medycznego Podstawowy P0224"</f>
        <v>Zespół Ratownictwa Medycznego Podstawowy P0224</v>
      </c>
      <c r="G33" s="1" t="str">
        <f t="shared" si="3"/>
        <v>PHYSIO CONTROL</v>
      </c>
      <c r="H33" s="1">
        <v>2016</v>
      </c>
      <c r="I33" s="3" t="s">
        <v>23</v>
      </c>
      <c r="J33" s="3">
        <v>4</v>
      </c>
      <c r="K33" s="2"/>
      <c r="L33" s="2"/>
      <c r="M33" s="2"/>
    </row>
    <row r="34" spans="1:13">
      <c r="A34" s="30">
        <v>30</v>
      </c>
      <c r="B34" s="1" t="str">
        <f t="shared" si="0"/>
        <v>Defibrylator</v>
      </c>
      <c r="C34" s="1" t="str">
        <f t="shared" si="4"/>
        <v>Lifepak 15</v>
      </c>
      <c r="D34" s="1" t="str">
        <f>"44662914 "</f>
        <v xml:space="preserve">44662914 </v>
      </c>
      <c r="E34" s="1" t="str">
        <f>"802/1625"</f>
        <v>802/1625</v>
      </c>
      <c r="F34" s="1" t="str">
        <f>"Zespół Ratownictwa Medycznego Podstawowy P0226"</f>
        <v>Zespół Ratownictwa Medycznego Podstawowy P0226</v>
      </c>
      <c r="G34" s="1" t="str">
        <f t="shared" si="3"/>
        <v>PHYSIO CONTROL</v>
      </c>
      <c r="H34" s="1">
        <v>2016</v>
      </c>
      <c r="I34" s="3" t="s">
        <v>23</v>
      </c>
      <c r="J34" s="3">
        <v>4</v>
      </c>
      <c r="K34" s="2"/>
      <c r="L34" s="2"/>
      <c r="M34" s="2"/>
    </row>
    <row r="35" spans="1:13">
      <c r="A35" s="30">
        <v>31</v>
      </c>
      <c r="B35" s="1" t="str">
        <f t="shared" si="0"/>
        <v>Defibrylator</v>
      </c>
      <c r="C35" s="1" t="str">
        <f t="shared" si="4"/>
        <v>Lifepak 15</v>
      </c>
      <c r="D35" s="1" t="str">
        <f>"44663073 "</f>
        <v xml:space="preserve">44663073 </v>
      </c>
      <c r="E35" s="1" t="str">
        <f>"802/1630"</f>
        <v>802/1630</v>
      </c>
      <c r="F35" s="1" t="str">
        <f>"Zespół Ratownictwa Medycznego Podstawowy P0228"</f>
        <v>Zespół Ratownictwa Medycznego Podstawowy P0228</v>
      </c>
      <c r="G35" s="1" t="str">
        <f t="shared" si="3"/>
        <v>PHYSIO CONTROL</v>
      </c>
      <c r="H35" s="1">
        <v>2016</v>
      </c>
      <c r="I35" s="3" t="s">
        <v>23</v>
      </c>
      <c r="J35" s="3">
        <v>4</v>
      </c>
      <c r="K35" s="2"/>
      <c r="L35" s="2"/>
      <c r="M35" s="2"/>
    </row>
    <row r="36" spans="1:13">
      <c r="A36" s="30">
        <v>32</v>
      </c>
      <c r="B36" s="1" t="str">
        <f t="shared" si="0"/>
        <v>Defibrylator</v>
      </c>
      <c r="C36" s="1" t="str">
        <f t="shared" si="4"/>
        <v>Lifepak 15</v>
      </c>
      <c r="D36" s="1" t="str">
        <f>"44662998 "</f>
        <v xml:space="preserve">44662998 </v>
      </c>
      <c r="E36" s="1" t="str">
        <f>"802/1628"</f>
        <v>802/1628</v>
      </c>
      <c r="F36" s="1" t="s">
        <v>4</v>
      </c>
      <c r="G36" s="1" t="str">
        <f t="shared" si="3"/>
        <v>PHYSIO CONTROL</v>
      </c>
      <c r="H36" s="1">
        <v>2016</v>
      </c>
      <c r="I36" s="3" t="s">
        <v>23</v>
      </c>
      <c r="J36" s="3">
        <v>4</v>
      </c>
      <c r="K36" s="2"/>
      <c r="L36" s="2"/>
      <c r="M36" s="2"/>
    </row>
    <row r="37" spans="1:13">
      <c r="A37" s="30">
        <v>33</v>
      </c>
      <c r="B37" s="1" t="str">
        <f t="shared" si="0"/>
        <v>Defibrylator</v>
      </c>
      <c r="C37" s="1" t="str">
        <f>"LIFEPAK 20"</f>
        <v>LIFEPAK 20</v>
      </c>
      <c r="D37" s="1" t="str">
        <f>"46371324"</f>
        <v>46371324</v>
      </c>
      <c r="E37" s="1" t="str">
        <f>"802/1783"</f>
        <v>802/1783</v>
      </c>
      <c r="F37" s="1" t="str">
        <f>"Szpitalny Oddział Ratunkowy"</f>
        <v>Szpitalny Oddział Ratunkowy</v>
      </c>
      <c r="G37" s="1" t="str">
        <f>"MEDTRONIC PHYSIO-CONTROL Corp.-USA"</f>
        <v>MEDTRONIC PHYSIO-CONTROL Corp.-USA</v>
      </c>
      <c r="H37" s="1">
        <v>2017</v>
      </c>
      <c r="I37" s="3" t="s">
        <v>23</v>
      </c>
      <c r="J37" s="3">
        <v>4</v>
      </c>
      <c r="K37" s="2"/>
      <c r="L37" s="2"/>
      <c r="M37" s="2"/>
    </row>
    <row r="38" spans="1:13">
      <c r="A38" s="30">
        <v>34</v>
      </c>
      <c r="B38" s="1" t="str">
        <f t="shared" si="0"/>
        <v>Defibrylator</v>
      </c>
      <c r="C38" s="1" t="str">
        <f>"LIFEPAK 20"</f>
        <v>LIFEPAK 20</v>
      </c>
      <c r="D38" s="1" t="str">
        <f>"46373332"</f>
        <v>46373332</v>
      </c>
      <c r="E38" s="1" t="str">
        <f>"802/1782"</f>
        <v>802/1782</v>
      </c>
      <c r="F38" s="1" t="str">
        <f>"Szpitalny Oddział Ratunkowy"</f>
        <v>Szpitalny Oddział Ratunkowy</v>
      </c>
      <c r="G38" s="1" t="str">
        <f>"MEDTRONIC PHYSIO-CONTROL Corp.-USA"</f>
        <v>MEDTRONIC PHYSIO-CONTROL Corp.-USA</v>
      </c>
      <c r="H38" s="1">
        <v>2017</v>
      </c>
      <c r="I38" s="3" t="s">
        <v>23</v>
      </c>
      <c r="J38" s="3">
        <v>4</v>
      </c>
      <c r="K38" s="2"/>
      <c r="L38" s="2"/>
      <c r="M38" s="2"/>
    </row>
    <row r="39" spans="1:13">
      <c r="A39" s="30">
        <v>35</v>
      </c>
      <c r="B39" s="1" t="str">
        <f t="shared" si="0"/>
        <v>Defibrylator</v>
      </c>
      <c r="C39" s="1" t="str">
        <f t="shared" ref="C39:C44" si="5">"LIFEPAK 20e"</f>
        <v>LIFEPAK 20e</v>
      </c>
      <c r="D39" s="1" t="str">
        <f>"46371460"</f>
        <v>46371460</v>
      </c>
      <c r="E39" s="1" t="str">
        <f>"802/1781"</f>
        <v>802/1781</v>
      </c>
      <c r="F39" s="1" t="str">
        <f>"Szpitalny Oddział Ratunkowy"</f>
        <v>Szpitalny Oddział Ratunkowy</v>
      </c>
      <c r="G39" s="1" t="str">
        <f t="shared" ref="G39:G46" si="6">"PHYSIO CONTROL"</f>
        <v>PHYSIO CONTROL</v>
      </c>
      <c r="H39" s="1">
        <v>2017</v>
      </c>
      <c r="I39" s="3" t="s">
        <v>23</v>
      </c>
      <c r="J39" s="3">
        <v>4</v>
      </c>
      <c r="K39" s="2"/>
      <c r="L39" s="2"/>
      <c r="M39" s="2"/>
    </row>
    <row r="40" spans="1:13">
      <c r="A40" s="30">
        <v>36</v>
      </c>
      <c r="B40" s="1" t="str">
        <f t="shared" si="0"/>
        <v>Defibrylator</v>
      </c>
      <c r="C40" s="1" t="str">
        <f t="shared" si="5"/>
        <v>LIFEPAK 20e</v>
      </c>
      <c r="D40" s="1" t="str">
        <f>"47698215"</f>
        <v>47698215</v>
      </c>
      <c r="E40" s="1" t="str">
        <f>"802/1974"</f>
        <v>802/1974</v>
      </c>
      <c r="F40" s="1" t="str">
        <f>"Blok Operacyjny"</f>
        <v>Blok Operacyjny</v>
      </c>
      <c r="G40" s="1" t="str">
        <f t="shared" si="6"/>
        <v>PHYSIO CONTROL</v>
      </c>
      <c r="H40" s="1">
        <v>2018</v>
      </c>
      <c r="I40" s="3" t="s">
        <v>23</v>
      </c>
      <c r="J40" s="3">
        <v>4</v>
      </c>
      <c r="K40" s="2"/>
      <c r="L40" s="2"/>
      <c r="M40" s="2"/>
    </row>
    <row r="41" spans="1:13">
      <c r="A41" s="30">
        <v>37</v>
      </c>
      <c r="B41" s="1" t="str">
        <f t="shared" si="0"/>
        <v>Defibrylator</v>
      </c>
      <c r="C41" s="1" t="str">
        <f t="shared" si="5"/>
        <v>LIFEPAK 20e</v>
      </c>
      <c r="D41" s="1" t="str">
        <f>"47698468"</f>
        <v>47698468</v>
      </c>
      <c r="E41" s="1" t="str">
        <f>"802/1975"</f>
        <v>802/1975</v>
      </c>
      <c r="F41" s="1" t="str">
        <f>"Blok Operacyjny"</f>
        <v>Blok Operacyjny</v>
      </c>
      <c r="G41" s="1" t="str">
        <f t="shared" si="6"/>
        <v>PHYSIO CONTROL</v>
      </c>
      <c r="H41" s="1">
        <v>2018</v>
      </c>
      <c r="I41" s="3" t="s">
        <v>23</v>
      </c>
      <c r="J41" s="3">
        <v>4</v>
      </c>
      <c r="K41" s="2"/>
      <c r="L41" s="2"/>
      <c r="M41" s="2"/>
    </row>
    <row r="42" spans="1:13">
      <c r="A42" s="30">
        <v>38</v>
      </c>
      <c r="B42" s="1" t="str">
        <f t="shared" si="0"/>
        <v>Defibrylator</v>
      </c>
      <c r="C42" s="1" t="str">
        <f t="shared" si="5"/>
        <v>LIFEPAK 20e</v>
      </c>
      <c r="D42" s="1" t="str">
        <f>"47697920"</f>
        <v>47697920</v>
      </c>
      <c r="E42" s="1" t="str">
        <f>"802/1976"</f>
        <v>802/1976</v>
      </c>
      <c r="F42" s="1" t="str">
        <f>"Blok Operacyjny"</f>
        <v>Blok Operacyjny</v>
      </c>
      <c r="G42" s="1" t="str">
        <f t="shared" si="6"/>
        <v>PHYSIO CONTROL</v>
      </c>
      <c r="H42" s="1">
        <v>2018</v>
      </c>
      <c r="I42" s="3" t="s">
        <v>23</v>
      </c>
      <c r="J42" s="3">
        <v>4</v>
      </c>
      <c r="K42" s="2"/>
      <c r="L42" s="2"/>
      <c r="M42" s="2"/>
    </row>
    <row r="43" spans="1:13">
      <c r="A43" s="30">
        <v>39</v>
      </c>
      <c r="B43" s="1" t="str">
        <f t="shared" si="0"/>
        <v>Defibrylator</v>
      </c>
      <c r="C43" s="1" t="str">
        <f t="shared" si="5"/>
        <v>LIFEPAK 20e</v>
      </c>
      <c r="D43" s="1" t="str">
        <f>"49101197"</f>
        <v>49101197</v>
      </c>
      <c r="E43" s="1" t="str">
        <f>"802/2373"</f>
        <v>802/2373</v>
      </c>
      <c r="F43" s="1" t="str">
        <f>"Oddział Kardiologiczny A"</f>
        <v>Oddział Kardiologiczny A</v>
      </c>
      <c r="G43" s="1" t="str">
        <f t="shared" si="6"/>
        <v>PHYSIO CONTROL</v>
      </c>
      <c r="H43" s="1">
        <v>2021</v>
      </c>
      <c r="I43" s="3" t="s">
        <v>23</v>
      </c>
      <c r="J43" s="3">
        <v>4</v>
      </c>
      <c r="K43" s="2"/>
      <c r="L43" s="2"/>
      <c r="M43" s="2"/>
    </row>
    <row r="44" spans="1:13">
      <c r="A44" s="30">
        <v>40</v>
      </c>
      <c r="B44" s="1" t="str">
        <f t="shared" si="0"/>
        <v>Defibrylator</v>
      </c>
      <c r="C44" s="1" t="str">
        <f t="shared" si="5"/>
        <v>LIFEPAK 20e</v>
      </c>
      <c r="D44" s="1" t="str">
        <f>"49193589"</f>
        <v>49193589</v>
      </c>
      <c r="E44" s="1" t="str">
        <f>"802/2374"</f>
        <v>802/2374</v>
      </c>
      <c r="F44" s="1" t="str">
        <f>"Oddział Udarowy"</f>
        <v>Oddział Udarowy</v>
      </c>
      <c r="G44" s="1" t="str">
        <f t="shared" si="6"/>
        <v>PHYSIO CONTROL</v>
      </c>
      <c r="H44" s="1">
        <v>2021</v>
      </c>
      <c r="I44" s="3" t="s">
        <v>23</v>
      </c>
      <c r="J44" s="3">
        <v>4</v>
      </c>
      <c r="K44" s="2"/>
      <c r="L44" s="2"/>
      <c r="M44" s="2"/>
    </row>
    <row r="45" spans="1:13">
      <c r="A45" s="30">
        <v>41</v>
      </c>
      <c r="B45" s="1" t="str">
        <f t="shared" si="0"/>
        <v>Defibrylator</v>
      </c>
      <c r="C45" s="1" t="str">
        <f>"Lifepak 15"</f>
        <v>Lifepak 15</v>
      </c>
      <c r="D45" s="1" t="str">
        <f>"50747222"</f>
        <v>50747222</v>
      </c>
      <c r="E45" s="1" t="str">
        <f>"802/2796"</f>
        <v>802/2796</v>
      </c>
      <c r="F45" s="1" t="str">
        <f>"Oddział Kardiologiczny A"</f>
        <v>Oddział Kardiologiczny A</v>
      </c>
      <c r="G45" s="1" t="str">
        <f t="shared" si="6"/>
        <v>PHYSIO CONTROL</v>
      </c>
      <c r="H45" s="1">
        <v>2023</v>
      </c>
      <c r="I45" s="7">
        <v>46054</v>
      </c>
      <c r="J45" s="3">
        <v>2</v>
      </c>
      <c r="K45" s="2"/>
      <c r="L45" s="2"/>
      <c r="M45" s="2"/>
    </row>
    <row r="46" spans="1:13">
      <c r="A46" s="30">
        <v>42</v>
      </c>
      <c r="B46" s="1" t="str">
        <f t="shared" si="0"/>
        <v>Defibrylator</v>
      </c>
      <c r="C46" s="1" t="str">
        <f>"Lifepak 15"</f>
        <v>Lifepak 15</v>
      </c>
      <c r="D46" s="1" t="str">
        <f>"50747187"</f>
        <v>50747187</v>
      </c>
      <c r="E46" s="1" t="str">
        <f>"802/2795"</f>
        <v>802/2795</v>
      </c>
      <c r="F46" s="1" t="str">
        <f>"Oddział Kardiologiczny A"</f>
        <v>Oddział Kardiologiczny A</v>
      </c>
      <c r="G46" s="1" t="str">
        <f t="shared" si="6"/>
        <v>PHYSIO CONTROL</v>
      </c>
      <c r="H46" s="1">
        <v>2023</v>
      </c>
      <c r="I46" s="7">
        <v>46054</v>
      </c>
      <c r="J46" s="3">
        <v>2</v>
      </c>
      <c r="K46" s="2"/>
      <c r="L46" s="2"/>
      <c r="M46" s="2"/>
    </row>
    <row r="47" spans="1:13" ht="30">
      <c r="A47" s="30">
        <v>43</v>
      </c>
      <c r="B47" s="40" t="s">
        <v>9</v>
      </c>
      <c r="C47" s="1" t="str">
        <f>"Lucas 3.1"</f>
        <v>Lucas 3.1</v>
      </c>
      <c r="D47" s="1" t="str">
        <f>"3522AS15"</f>
        <v>3522AS15</v>
      </c>
      <c r="E47" s="1" t="str">
        <f>"802/2504"</f>
        <v>802/2504</v>
      </c>
      <c r="F47" s="1" t="s">
        <v>4</v>
      </c>
      <c r="G47" s="1" t="str">
        <f>"Stryker Polska Sp. z o.o."</f>
        <v>Stryker Polska Sp. z o.o.</v>
      </c>
      <c r="H47" s="1">
        <v>2022</v>
      </c>
      <c r="I47" s="7" t="str">
        <f>"2025-04-11"</f>
        <v>2025-04-11</v>
      </c>
      <c r="J47" s="3">
        <v>3</v>
      </c>
      <c r="K47" s="2"/>
      <c r="L47" s="2"/>
      <c r="M47" s="2"/>
    </row>
    <row r="48" spans="1:13" ht="30">
      <c r="A48" s="30">
        <v>44</v>
      </c>
      <c r="B48" s="40" t="s">
        <v>9</v>
      </c>
      <c r="C48" s="1" t="str">
        <f>"LUCAS 2"</f>
        <v>LUCAS 2</v>
      </c>
      <c r="D48" s="1" t="str">
        <f>"3017 K724"</f>
        <v>3017 K724</v>
      </c>
      <c r="E48" s="1" t="str">
        <f>"802/1780"</f>
        <v>802/1780</v>
      </c>
      <c r="F48" s="1" t="str">
        <f>"Szpitalny Oddział Ratunkowy"</f>
        <v>Szpitalny Oddział Ratunkowy</v>
      </c>
      <c r="G48" s="1" t="str">
        <f>"Jolife AB"</f>
        <v>Jolife AB</v>
      </c>
      <c r="H48" s="1">
        <v>2017</v>
      </c>
      <c r="I48" s="7" t="s">
        <v>23</v>
      </c>
      <c r="J48" s="3">
        <v>4</v>
      </c>
      <c r="K48" s="2"/>
      <c r="L48" s="2"/>
      <c r="M48" s="2"/>
    </row>
    <row r="49" spans="1:13" ht="30">
      <c r="A49" s="30">
        <v>45</v>
      </c>
      <c r="B49" s="40" t="s">
        <v>9</v>
      </c>
      <c r="C49" s="1" t="str">
        <f>"Lucas 3"</f>
        <v>Lucas 3</v>
      </c>
      <c r="D49" s="1" t="str">
        <f>"3520L875"</f>
        <v>3520L875</v>
      </c>
      <c r="E49" s="1" t="str">
        <f>"1/802/566"</f>
        <v>1/802/566</v>
      </c>
      <c r="F49" s="1" t="str">
        <f>"Zespół Ratownictwa Medycznego Podstawowy P0218"</f>
        <v>Zespół Ratownictwa Medycznego Podstawowy P0218</v>
      </c>
      <c r="G49" s="1" t="str">
        <f>"Jolife AB"</f>
        <v>Jolife AB</v>
      </c>
      <c r="H49" s="1">
        <v>2020</v>
      </c>
      <c r="I49" s="7" t="s">
        <v>23</v>
      </c>
      <c r="J49" s="3">
        <v>4</v>
      </c>
      <c r="K49" s="2"/>
      <c r="L49" s="2"/>
      <c r="M49" s="2"/>
    </row>
    <row r="50" spans="1:13" ht="30">
      <c r="A50" s="30">
        <v>46</v>
      </c>
      <c r="B50" s="40" t="s">
        <v>9</v>
      </c>
      <c r="C50" s="1" t="str">
        <f>"Lucas 3"</f>
        <v>Lucas 3</v>
      </c>
      <c r="D50" s="1" t="str">
        <f>"3520L878"</f>
        <v>3520L878</v>
      </c>
      <c r="E50" s="1" t="str">
        <f>"1/802/564"</f>
        <v>1/802/564</v>
      </c>
      <c r="F50" s="1" t="str">
        <f>"Zespół Ratownictwa Medycznego Podstawowy P0222"</f>
        <v>Zespół Ratownictwa Medycznego Podstawowy P0222</v>
      </c>
      <c r="G50" s="1" t="str">
        <f>"Jolife AB"</f>
        <v>Jolife AB</v>
      </c>
      <c r="H50" s="1">
        <v>2020</v>
      </c>
      <c r="I50" s="7" t="s">
        <v>23</v>
      </c>
      <c r="J50" s="3">
        <v>4</v>
      </c>
      <c r="K50" s="2"/>
      <c r="L50" s="2"/>
      <c r="M50" s="2"/>
    </row>
    <row r="51" spans="1:13" ht="30">
      <c r="A51" s="30">
        <v>47</v>
      </c>
      <c r="B51" s="40" t="s">
        <v>9</v>
      </c>
      <c r="C51" s="1" t="str">
        <f>"Lucas 3"</f>
        <v>Lucas 3</v>
      </c>
      <c r="D51" s="1" t="str">
        <f>"3520L872"</f>
        <v>3520L872</v>
      </c>
      <c r="E51" s="1" t="str">
        <f>"1/802/565"</f>
        <v>1/802/565</v>
      </c>
      <c r="F51" s="1" t="str">
        <f>"Zespół Ratownictwa Medycznego Podstawowy P0224"</f>
        <v>Zespół Ratownictwa Medycznego Podstawowy P0224</v>
      </c>
      <c r="G51" s="1" t="str">
        <f>"Jolife AB"</f>
        <v>Jolife AB</v>
      </c>
      <c r="H51" s="1">
        <v>2020</v>
      </c>
      <c r="I51" s="7" t="s">
        <v>23</v>
      </c>
      <c r="J51" s="3">
        <v>4</v>
      </c>
      <c r="K51" s="2"/>
      <c r="L51" s="2"/>
      <c r="M51" s="2"/>
    </row>
    <row r="52" spans="1:13" ht="30">
      <c r="A52" s="30">
        <v>48</v>
      </c>
      <c r="B52" s="40" t="s">
        <v>9</v>
      </c>
      <c r="C52" s="1" t="str">
        <f>"Lucas 3"</f>
        <v>Lucas 3</v>
      </c>
      <c r="D52" s="1" t="str">
        <f>"3520N168"</f>
        <v>3520N168</v>
      </c>
      <c r="E52" s="1" t="str">
        <f>"802/2254"</f>
        <v>802/2254</v>
      </c>
      <c r="F52" s="1" t="s">
        <v>4</v>
      </c>
      <c r="G52" s="1" t="str">
        <f>"Jolife AB"</f>
        <v>Jolife AB</v>
      </c>
      <c r="H52" s="1">
        <v>2020</v>
      </c>
      <c r="I52" s="7" t="s">
        <v>23</v>
      </c>
      <c r="J52" s="3">
        <v>4</v>
      </c>
      <c r="K52" s="2"/>
      <c r="L52" s="2"/>
      <c r="M52" s="2"/>
    </row>
    <row r="53" spans="1:13" ht="30">
      <c r="A53" s="30">
        <v>49</v>
      </c>
      <c r="B53" s="40" t="s">
        <v>9</v>
      </c>
      <c r="C53" s="1" t="str">
        <f>"Lucas 3.1"</f>
        <v>Lucas 3.1</v>
      </c>
      <c r="D53" s="1" t="str">
        <f>"3523GL10"</f>
        <v>3523GL10</v>
      </c>
      <c r="E53" s="1" t="str">
        <f>"802/2790"</f>
        <v>802/2790</v>
      </c>
      <c r="F53" s="1" t="str">
        <f>"Oddział Kardiologiczny A"</f>
        <v>Oddział Kardiologiczny A</v>
      </c>
      <c r="G53" s="1" t="str">
        <f t="shared" ref="G53:G55" si="7">"Jolife AB"</f>
        <v>Jolife AB</v>
      </c>
      <c r="H53" s="1">
        <v>2023</v>
      </c>
      <c r="I53" s="7" t="str">
        <f>"2025-12-04"</f>
        <v>2025-12-04</v>
      </c>
      <c r="J53" s="3">
        <v>2</v>
      </c>
      <c r="K53" s="2"/>
      <c r="L53" s="2"/>
      <c r="M53" s="2"/>
    </row>
    <row r="54" spans="1:13" ht="30">
      <c r="A54" s="30">
        <v>50</v>
      </c>
      <c r="B54" s="40" t="s">
        <v>9</v>
      </c>
      <c r="C54" s="1" t="str">
        <f>"Lucas 3.1"</f>
        <v>Lucas 3.1</v>
      </c>
      <c r="D54" s="1" t="str">
        <f>"3520P327"</f>
        <v>3520P327</v>
      </c>
      <c r="E54" s="1" t="str">
        <f>"802/2300"</f>
        <v>802/2300</v>
      </c>
      <c r="F54" s="1" t="str">
        <f>"Zespół Ratownictwa Medycznego Podstawowy P0220"</f>
        <v>Zespół Ratownictwa Medycznego Podstawowy P0220</v>
      </c>
      <c r="G54" s="1" t="str">
        <f t="shared" si="7"/>
        <v>Jolife AB</v>
      </c>
      <c r="H54" s="1">
        <v>2020</v>
      </c>
      <c r="I54" s="7" t="s">
        <v>23</v>
      </c>
      <c r="J54" s="3">
        <v>4</v>
      </c>
      <c r="K54" s="2"/>
      <c r="L54" s="2"/>
      <c r="M54" s="2"/>
    </row>
    <row r="55" spans="1:13" ht="30">
      <c r="A55" s="30">
        <v>51</v>
      </c>
      <c r="B55" s="40" t="s">
        <v>9</v>
      </c>
      <c r="C55" s="1" t="str">
        <f>"Lucas 3.1"</f>
        <v>Lucas 3.1</v>
      </c>
      <c r="D55" s="1" t="str">
        <f>"3250P326"</f>
        <v>3250P326</v>
      </c>
      <c r="E55" s="1" t="str">
        <f>"802/2299"</f>
        <v>802/2299</v>
      </c>
      <c r="F55" s="1" t="str">
        <f>"Zespół Ratownictwa Medycznego Podstawowy P0228"</f>
        <v>Zespół Ratownictwa Medycznego Podstawowy P0228</v>
      </c>
      <c r="G55" s="1" t="str">
        <f t="shared" si="7"/>
        <v>Jolife AB</v>
      </c>
      <c r="H55" s="1">
        <v>2020</v>
      </c>
      <c r="I55" s="7" t="s">
        <v>23</v>
      </c>
      <c r="J55" s="3">
        <v>4</v>
      </c>
      <c r="K55" s="2"/>
      <c r="L55" s="2"/>
      <c r="M55" s="2"/>
    </row>
    <row r="56" spans="1:13">
      <c r="A56" s="41"/>
      <c r="B56" s="54" t="s">
        <v>6</v>
      </c>
      <c r="C56" s="54"/>
      <c r="D56" s="54"/>
      <c r="E56" s="54"/>
      <c r="F56" s="54"/>
      <c r="G56" s="54"/>
      <c r="H56" s="54"/>
      <c r="I56" s="54"/>
      <c r="J56" s="54"/>
      <c r="K56" s="54"/>
      <c r="L56" s="15"/>
      <c r="M56" s="15"/>
    </row>
    <row r="57" spans="1:13">
      <c r="A57" s="30"/>
      <c r="B57" s="6"/>
      <c r="C57" s="6"/>
      <c r="D57" s="6"/>
      <c r="E57" s="6"/>
      <c r="F57" s="6"/>
      <c r="G57" s="6"/>
      <c r="H57" s="6"/>
      <c r="I57" s="13"/>
      <c r="J57" s="6"/>
      <c r="K57" s="6"/>
      <c r="L57" s="6"/>
      <c r="M57" s="6"/>
    </row>
    <row r="58" spans="1:13">
      <c r="A58" s="30"/>
      <c r="B58" s="6"/>
      <c r="C58" s="6"/>
      <c r="D58" s="6"/>
      <c r="E58" s="6"/>
      <c r="F58" s="6"/>
      <c r="G58" s="6"/>
      <c r="H58" s="6"/>
      <c r="I58" s="13"/>
      <c r="J58" s="6"/>
      <c r="K58" s="6"/>
      <c r="L58" s="6"/>
      <c r="M58" s="6"/>
    </row>
    <row r="59" spans="1:13" ht="18.75" customHeight="1">
      <c r="A59" s="56" t="s">
        <v>13</v>
      </c>
      <c r="B59" s="56"/>
      <c r="C59" s="56"/>
      <c r="D59" s="56"/>
      <c r="E59" s="56"/>
      <c r="F59" s="56"/>
      <c r="G59" s="56"/>
      <c r="H59" s="56"/>
      <c r="I59" s="13"/>
      <c r="J59" s="6"/>
      <c r="K59" s="6"/>
      <c r="L59" s="6"/>
      <c r="M59" s="6"/>
    </row>
    <row r="60" spans="1:13" ht="27">
      <c r="A60" s="1" t="s">
        <v>7</v>
      </c>
      <c r="B60" s="1" t="s">
        <v>11</v>
      </c>
      <c r="C60" s="9" t="s">
        <v>15</v>
      </c>
      <c r="D60" s="9" t="s">
        <v>19</v>
      </c>
      <c r="E60" s="9" t="s">
        <v>18</v>
      </c>
      <c r="F60" s="9" t="s">
        <v>3</v>
      </c>
      <c r="G60" s="9" t="s">
        <v>10</v>
      </c>
      <c r="H60" s="9" t="s">
        <v>5</v>
      </c>
      <c r="I60" s="13"/>
      <c r="J60" s="6"/>
      <c r="K60" s="6"/>
      <c r="L60" s="6"/>
      <c r="M60" s="6"/>
    </row>
    <row r="61" spans="1:13">
      <c r="A61" s="1">
        <v>1</v>
      </c>
      <c r="B61" s="1" t="s">
        <v>17</v>
      </c>
      <c r="C61" s="3" t="s">
        <v>20</v>
      </c>
      <c r="D61" s="3">
        <v>51</v>
      </c>
      <c r="E61" s="2"/>
      <c r="F61" s="2"/>
      <c r="G61" s="10"/>
      <c r="H61" s="2"/>
      <c r="I61" s="13"/>
      <c r="J61" s="6"/>
      <c r="K61" s="6"/>
      <c r="L61" s="6"/>
      <c r="M61" s="6"/>
    </row>
    <row r="62" spans="1:13">
      <c r="A62" s="1"/>
      <c r="B62" s="57" t="s">
        <v>6</v>
      </c>
      <c r="C62" s="57"/>
      <c r="D62" s="57"/>
      <c r="E62" s="57"/>
      <c r="F62" s="11"/>
      <c r="G62" s="11"/>
      <c r="H62" s="11"/>
      <c r="I62" s="13"/>
      <c r="J62" s="6"/>
      <c r="K62" s="6"/>
      <c r="L62" s="6"/>
      <c r="M62" s="6"/>
    </row>
    <row r="63" spans="1:13" ht="50.25" customHeight="1">
      <c r="A63" s="30"/>
      <c r="B63" s="6"/>
      <c r="C63" s="6"/>
      <c r="D63" s="6"/>
      <c r="E63" s="6"/>
      <c r="F63" s="42" t="s">
        <v>29</v>
      </c>
      <c r="G63" s="6"/>
      <c r="H63" s="6"/>
      <c r="I63" s="13"/>
      <c r="J63" s="6"/>
      <c r="K63" s="6"/>
      <c r="L63" s="6"/>
      <c r="M63" s="6"/>
    </row>
    <row r="64" spans="1:13" ht="119.25" customHeight="1">
      <c r="A64" s="30"/>
      <c r="B64" s="28" t="s">
        <v>25</v>
      </c>
      <c r="C64" s="28" t="s">
        <v>43</v>
      </c>
      <c r="D64" s="29" t="s">
        <v>30</v>
      </c>
      <c r="E64" s="29" t="s">
        <v>31</v>
      </c>
      <c r="F64" s="29" t="s">
        <v>26</v>
      </c>
      <c r="G64" s="29" t="s">
        <v>27</v>
      </c>
      <c r="H64" s="29" t="s">
        <v>34</v>
      </c>
      <c r="I64" s="29" t="s">
        <v>32</v>
      </c>
      <c r="J64" s="29" t="s">
        <v>33</v>
      </c>
      <c r="K64" s="29" t="s">
        <v>35</v>
      </c>
      <c r="L64" s="26"/>
      <c r="M64" s="6"/>
    </row>
    <row r="65" spans="1:13" ht="23.25" customHeight="1">
      <c r="A65" s="31">
        <v>1</v>
      </c>
      <c r="B65" s="32">
        <v>2</v>
      </c>
      <c r="C65" s="32">
        <v>3</v>
      </c>
      <c r="D65" s="33">
        <v>4</v>
      </c>
      <c r="E65" s="33">
        <v>5</v>
      </c>
      <c r="F65" s="33">
        <v>6</v>
      </c>
      <c r="G65" s="33">
        <v>7</v>
      </c>
      <c r="H65" s="33">
        <v>8</v>
      </c>
      <c r="I65" s="33">
        <v>9</v>
      </c>
      <c r="J65" s="33">
        <v>10</v>
      </c>
      <c r="K65" s="33">
        <v>11</v>
      </c>
      <c r="L65" s="34"/>
      <c r="M65" s="6"/>
    </row>
    <row r="66" spans="1:13">
      <c r="A66" s="30"/>
      <c r="B66" s="25" t="s">
        <v>28</v>
      </c>
      <c r="C66" s="25">
        <v>8</v>
      </c>
      <c r="D66" s="25"/>
      <c r="E66" s="25"/>
      <c r="F66" s="26"/>
      <c r="G66" s="26"/>
      <c r="H66" s="26"/>
      <c r="I66" s="26"/>
      <c r="J66" s="26"/>
      <c r="K66" s="26"/>
      <c r="L66" s="26"/>
      <c r="M66" s="6"/>
    </row>
    <row r="67" spans="1:13">
      <c r="A67" s="30"/>
      <c r="B67" s="17"/>
      <c r="C67" s="17"/>
      <c r="D67" s="17"/>
      <c r="E67" s="17"/>
      <c r="F67" s="50" t="s">
        <v>36</v>
      </c>
      <c r="G67" s="50"/>
      <c r="H67" s="17"/>
      <c r="I67" s="27" t="s">
        <v>37</v>
      </c>
      <c r="J67" s="17" t="s">
        <v>37</v>
      </c>
      <c r="K67" s="17"/>
      <c r="L67" s="17"/>
      <c r="M67" s="6"/>
    </row>
    <row r="68" spans="1:13">
      <c r="A68" s="45"/>
      <c r="B68" s="43"/>
      <c r="C68" s="43"/>
      <c r="D68" s="43"/>
      <c r="E68" s="43"/>
      <c r="F68" s="43"/>
      <c r="G68" s="43"/>
      <c r="H68" s="43"/>
      <c r="I68" s="44"/>
      <c r="J68" s="43"/>
      <c r="K68" s="43"/>
      <c r="L68" s="43"/>
      <c r="M68" s="43"/>
    </row>
    <row r="69" spans="1:13" s="35" customFormat="1">
      <c r="A69" s="46"/>
      <c r="I69" s="36"/>
    </row>
    <row r="70" spans="1:13" ht="21.75" customHeight="1">
      <c r="A70" s="46"/>
      <c r="B70" s="35"/>
      <c r="C70" s="52" t="s">
        <v>38</v>
      </c>
      <c r="D70" s="52"/>
      <c r="E70" s="52"/>
      <c r="F70" s="47" t="s">
        <v>40</v>
      </c>
      <c r="G70" s="47" t="s">
        <v>39</v>
      </c>
      <c r="H70" s="48"/>
      <c r="I70" s="49"/>
      <c r="J70" s="48"/>
      <c r="K70" s="48"/>
      <c r="L70" s="48"/>
      <c r="M70" s="48"/>
    </row>
    <row r="71" spans="1:13" ht="39.75" customHeight="1">
      <c r="A71" s="46"/>
      <c r="B71" s="35"/>
      <c r="C71" s="52"/>
      <c r="D71" s="52"/>
      <c r="E71" s="52"/>
      <c r="F71" s="48"/>
      <c r="G71" s="48"/>
      <c r="H71" s="48"/>
      <c r="I71" s="49"/>
      <c r="J71" s="48"/>
      <c r="K71" s="48"/>
      <c r="L71" s="48"/>
      <c r="M71" s="48"/>
    </row>
    <row r="72" spans="1:13" ht="60.75" customHeight="1">
      <c r="A72" s="46"/>
      <c r="B72" s="35"/>
      <c r="C72" s="35"/>
      <c r="D72" s="35"/>
      <c r="E72" s="35"/>
      <c r="F72" s="35"/>
      <c r="G72" s="51" t="s">
        <v>24</v>
      </c>
      <c r="H72" s="51"/>
      <c r="I72" s="51"/>
      <c r="J72" s="51"/>
      <c r="K72" s="35"/>
      <c r="L72" s="35"/>
      <c r="M72" s="35"/>
    </row>
    <row r="73" spans="1:13">
      <c r="A73" s="46"/>
      <c r="B73" s="35"/>
      <c r="C73" s="35"/>
      <c r="D73" s="35"/>
      <c r="E73" s="35"/>
      <c r="F73" s="35"/>
      <c r="G73" s="35"/>
      <c r="H73" s="35"/>
      <c r="I73" s="36"/>
      <c r="J73" s="35"/>
      <c r="K73" s="35"/>
      <c r="L73" s="35"/>
      <c r="M73" s="35"/>
    </row>
    <row r="74" spans="1:13">
      <c r="A74" s="46"/>
      <c r="B74" s="35"/>
    </row>
  </sheetData>
  <mergeCells count="8">
    <mergeCell ref="F67:G67"/>
    <mergeCell ref="G72:J72"/>
    <mergeCell ref="C70:E71"/>
    <mergeCell ref="B2:M2"/>
    <mergeCell ref="B56:K56"/>
    <mergeCell ref="J3:M3"/>
    <mergeCell ref="A59:H59"/>
    <mergeCell ref="B62:E62"/>
  </mergeCells>
  <pageMargins left="0.19685039370078741" right="0.19685039370078741" top="0.74803149606299213" bottom="0.74803149606299213" header="0.31496062992125984" footer="0.31496062992125984"/>
  <pageSetup paperSize="9" scale="62" fitToHeight="0" orientation="landscape" verticalDpi="0" r:id="rId1"/>
  <headerFooter>
    <oddHeader>&amp;R&amp;"-,Kursywa"&amp;12Załącznik nr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1"/>
  <sheetViews>
    <sheetView showGridLines="0" workbookViewId="0">
      <pane ySplit="4" topLeftCell="A214" activePane="bottomLeft" state="frozen"/>
      <selection pane="bottomLeft" activeCell="B2" sqref="B2:M2"/>
    </sheetView>
  </sheetViews>
  <sheetFormatPr defaultRowHeight="15"/>
  <cols>
    <col min="1" max="1" width="5.42578125" customWidth="1"/>
    <col min="2" max="2" width="40.85546875" customWidth="1"/>
    <col min="3" max="3" width="17" customWidth="1"/>
    <col min="4" max="4" width="14.28515625" customWidth="1"/>
    <col min="5" max="5" width="11.7109375" customWidth="1"/>
    <col min="6" max="6" width="46.85546875" customWidth="1"/>
    <col min="7" max="7" width="23.42578125" customWidth="1"/>
    <col min="8" max="8" width="21.7109375" customWidth="1"/>
    <col min="9" max="9" width="12.140625" customWidth="1"/>
    <col min="10" max="10" width="15.85546875" style="5" customWidth="1"/>
    <col min="11" max="11" width="12.5703125" customWidth="1"/>
  </cols>
  <sheetData>
    <row r="1" spans="1:13">
      <c r="A1" s="6"/>
      <c r="B1" s="6"/>
      <c r="C1" s="6"/>
      <c r="D1" s="6"/>
      <c r="E1" s="6"/>
      <c r="F1" s="6"/>
      <c r="G1" s="6"/>
      <c r="H1" s="6"/>
      <c r="I1" s="6"/>
      <c r="J1" s="13"/>
      <c r="K1" s="6"/>
      <c r="L1" s="6"/>
      <c r="M1" s="6"/>
    </row>
    <row r="2" spans="1:13" ht="45.75" customHeight="1">
      <c r="A2" s="6"/>
      <c r="B2" s="70" t="s">
        <v>44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>
      <c r="A3" s="17"/>
      <c r="B3" s="6"/>
      <c r="C3" s="6"/>
      <c r="D3" s="6"/>
      <c r="E3" s="6"/>
      <c r="F3" s="6"/>
      <c r="G3" s="6"/>
      <c r="H3" s="6"/>
      <c r="I3" s="6"/>
      <c r="J3" s="55" t="s">
        <v>22</v>
      </c>
      <c r="K3" s="55"/>
      <c r="L3" s="55"/>
      <c r="M3" s="55"/>
    </row>
    <row r="4" spans="1:13" ht="69.75" customHeight="1">
      <c r="A4" s="12" t="s">
        <v>7</v>
      </c>
      <c r="B4" s="12" t="str">
        <f>"Nazwa urządzenia"</f>
        <v>Nazwa urządzenia</v>
      </c>
      <c r="C4" s="12" t="str">
        <f>"Typ"</f>
        <v>Typ</v>
      </c>
      <c r="D4" s="12" t="str">
        <f>"Nr ser."</f>
        <v>Nr ser.</v>
      </c>
      <c r="E4" s="12" t="str">
        <f>"Nr inw."</f>
        <v>Nr inw.</v>
      </c>
      <c r="F4" s="12" t="str">
        <f>"Komórka organizacyjna"</f>
        <v>Komórka organizacyjna</v>
      </c>
      <c r="G4" s="12" t="str">
        <f>"Producent"</f>
        <v>Producent</v>
      </c>
      <c r="H4" s="12" t="str">
        <f>"Rok prod."</f>
        <v>Rok prod.</v>
      </c>
      <c r="I4" s="12" t="s">
        <v>0</v>
      </c>
      <c r="J4" s="16" t="s">
        <v>1</v>
      </c>
      <c r="K4" s="16" t="s">
        <v>2</v>
      </c>
      <c r="L4" s="16" t="s">
        <v>3</v>
      </c>
      <c r="M4" s="16" t="s">
        <v>5</v>
      </c>
    </row>
    <row r="5" spans="1:13">
      <c r="A5" s="6">
        <v>1</v>
      </c>
      <c r="B5" s="6" t="str">
        <f>"Pompa infuzyjna objętościowa (perystaltyczna)"</f>
        <v>Pompa infuzyjna objętościowa (perystaltyczna)</v>
      </c>
      <c r="C5" s="6" t="str">
        <f>"P1"</f>
        <v>P1</v>
      </c>
      <c r="D5" s="6" t="str">
        <f>"0200099/10 "</f>
        <v xml:space="preserve">0200099/10 </v>
      </c>
      <c r="E5" s="6" t="str">
        <f>"802/1087"</f>
        <v>802/1087</v>
      </c>
      <c r="F5" s="6" t="str">
        <f t="shared" ref="F5:F14" si="0">"Oddział Anestezjologii i Intensywnej Terapii"</f>
        <v>Oddział Anestezjologii i Intensywnej Terapii</v>
      </c>
      <c r="G5" s="6" t="str">
        <f t="shared" ref="G5:G68" si="1">"Medima Sp. z o.o."</f>
        <v>Medima Sp. z o.o.</v>
      </c>
      <c r="H5" s="6">
        <v>2010</v>
      </c>
      <c r="I5" s="6"/>
      <c r="J5" s="18">
        <v>2</v>
      </c>
      <c r="K5" s="19"/>
      <c r="L5" s="19"/>
      <c r="M5" s="19"/>
    </row>
    <row r="6" spans="1:13">
      <c r="A6" s="6">
        <v>2</v>
      </c>
      <c r="B6" s="6" t="str">
        <f>"Pompa infuzyjna objętościowa (perystaltyczna)"</f>
        <v>Pompa infuzyjna objętościowa (perystaltyczna)</v>
      </c>
      <c r="C6" s="6" t="str">
        <f>"P1"</f>
        <v>P1</v>
      </c>
      <c r="D6" s="6" t="str">
        <f>"0200098/10 "</f>
        <v xml:space="preserve">0200098/10 </v>
      </c>
      <c r="E6" s="6" t="str">
        <f>"802/1088"</f>
        <v>802/1088</v>
      </c>
      <c r="F6" s="6" t="str">
        <f t="shared" si="0"/>
        <v>Oddział Anestezjologii i Intensywnej Terapii</v>
      </c>
      <c r="G6" s="6" t="str">
        <f t="shared" si="1"/>
        <v>Medima Sp. z o.o.</v>
      </c>
      <c r="H6" s="6">
        <v>2010</v>
      </c>
      <c r="I6" s="6"/>
      <c r="J6" s="18">
        <v>2</v>
      </c>
      <c r="K6" s="19"/>
      <c r="L6" s="19"/>
      <c r="M6" s="19"/>
    </row>
    <row r="7" spans="1:13">
      <c r="A7" s="6">
        <v>3</v>
      </c>
      <c r="B7" s="6" t="str">
        <f>"Pompa infuzyjna objętościowa (perystaltyczna)"</f>
        <v>Pompa infuzyjna objętościowa (perystaltyczna)</v>
      </c>
      <c r="C7" s="6" t="str">
        <f>"P1"</f>
        <v>P1</v>
      </c>
      <c r="D7" s="6" t="str">
        <f>"0200097/10 "</f>
        <v xml:space="preserve">0200097/10 </v>
      </c>
      <c r="E7" s="6" t="str">
        <f>"802/1089"</f>
        <v>802/1089</v>
      </c>
      <c r="F7" s="6" t="str">
        <f t="shared" si="0"/>
        <v>Oddział Anestezjologii i Intensywnej Terapii</v>
      </c>
      <c r="G7" s="6" t="str">
        <f t="shared" si="1"/>
        <v>Medima Sp. z o.o.</v>
      </c>
      <c r="H7" s="6">
        <v>2010</v>
      </c>
      <c r="I7" s="6"/>
      <c r="J7" s="18">
        <v>2</v>
      </c>
      <c r="K7" s="19"/>
      <c r="L7" s="19"/>
      <c r="M7" s="19"/>
    </row>
    <row r="8" spans="1:13">
      <c r="A8" s="6">
        <v>4</v>
      </c>
      <c r="B8" s="6" t="str">
        <f>"Pompa infuzyjna objętościowa (perystaltyczna)"</f>
        <v>Pompa infuzyjna objętościowa (perystaltyczna)</v>
      </c>
      <c r="C8" s="6" t="str">
        <f>"P1"</f>
        <v>P1</v>
      </c>
      <c r="D8" s="6" t="str">
        <f>"0200096/10 "</f>
        <v xml:space="preserve">0200096/10 </v>
      </c>
      <c r="E8" s="6" t="str">
        <f>"802/1090"</f>
        <v>802/1090</v>
      </c>
      <c r="F8" s="6" t="str">
        <f t="shared" si="0"/>
        <v>Oddział Anestezjologii i Intensywnej Terapii</v>
      </c>
      <c r="G8" s="6" t="str">
        <f t="shared" si="1"/>
        <v>Medima Sp. z o.o.</v>
      </c>
      <c r="H8" s="6">
        <v>2010</v>
      </c>
      <c r="I8" s="6"/>
      <c r="J8" s="18">
        <v>2</v>
      </c>
      <c r="K8" s="19"/>
      <c r="L8" s="19"/>
      <c r="M8" s="19"/>
    </row>
    <row r="9" spans="1:13">
      <c r="A9" s="6">
        <v>5</v>
      </c>
      <c r="B9" s="6" t="str">
        <f>"Pompa infuzyjna objętościowa (perystaltyczna)"</f>
        <v>Pompa infuzyjna objętościowa (perystaltyczna)</v>
      </c>
      <c r="C9" s="6" t="str">
        <f>"P1"</f>
        <v>P1</v>
      </c>
      <c r="D9" s="6" t="str">
        <f>"0200094/09 "</f>
        <v xml:space="preserve">0200094/09 </v>
      </c>
      <c r="E9" s="6" t="str">
        <f>"802/1091"</f>
        <v>802/1091</v>
      </c>
      <c r="F9" s="6" t="str">
        <f t="shared" si="0"/>
        <v>Oddział Anestezjologii i Intensywnej Terapii</v>
      </c>
      <c r="G9" s="6" t="str">
        <f t="shared" si="1"/>
        <v>Medima Sp. z o.o.</v>
      </c>
      <c r="H9" s="6">
        <v>2009</v>
      </c>
      <c r="I9" s="6"/>
      <c r="J9" s="18">
        <v>2</v>
      </c>
      <c r="K9" s="19"/>
      <c r="L9" s="19"/>
      <c r="M9" s="19"/>
    </row>
    <row r="10" spans="1:13">
      <c r="A10" s="6">
        <v>6</v>
      </c>
      <c r="B10" s="6" t="str">
        <f t="shared" ref="B10:B20" si="2">"Pompa infuzyjna strzykawkowa"</f>
        <v>Pompa infuzyjna strzykawkowa</v>
      </c>
      <c r="C10" s="6" t="str">
        <f t="shared" ref="C10:C20" si="3">"S1"</f>
        <v>S1</v>
      </c>
      <c r="D10" s="6" t="str">
        <f>"0107288/09 "</f>
        <v xml:space="preserve">0107288/09 </v>
      </c>
      <c r="E10" s="6" t="str">
        <f>"802/1082"</f>
        <v>802/1082</v>
      </c>
      <c r="F10" s="6" t="str">
        <f t="shared" si="0"/>
        <v>Oddział Anestezjologii i Intensywnej Terapii</v>
      </c>
      <c r="G10" s="6" t="str">
        <f t="shared" si="1"/>
        <v>Medima Sp. z o.o.</v>
      </c>
      <c r="H10" s="6">
        <v>2009</v>
      </c>
      <c r="I10" s="6"/>
      <c r="J10" s="18">
        <v>2</v>
      </c>
      <c r="K10" s="19"/>
      <c r="L10" s="19"/>
      <c r="M10" s="19"/>
    </row>
    <row r="11" spans="1:13">
      <c r="A11" s="6">
        <v>7</v>
      </c>
      <c r="B11" s="6" t="str">
        <f t="shared" si="2"/>
        <v>Pompa infuzyjna strzykawkowa</v>
      </c>
      <c r="C11" s="6" t="str">
        <f t="shared" si="3"/>
        <v>S1</v>
      </c>
      <c r="D11" s="6" t="str">
        <f>"0107289/09 "</f>
        <v xml:space="preserve">0107289/09 </v>
      </c>
      <c r="E11" s="6" t="str">
        <f>"802/1083"</f>
        <v>802/1083</v>
      </c>
      <c r="F11" s="6" t="str">
        <f t="shared" si="0"/>
        <v>Oddział Anestezjologii i Intensywnej Terapii</v>
      </c>
      <c r="G11" s="6" t="str">
        <f t="shared" si="1"/>
        <v>Medima Sp. z o.o.</v>
      </c>
      <c r="H11" s="6">
        <v>2009</v>
      </c>
      <c r="I11" s="6"/>
      <c r="J11" s="18">
        <v>2</v>
      </c>
      <c r="K11" s="19"/>
      <c r="L11" s="19"/>
      <c r="M11" s="19"/>
    </row>
    <row r="12" spans="1:13">
      <c r="A12" s="6">
        <v>8</v>
      </c>
      <c r="B12" s="6" t="str">
        <f t="shared" si="2"/>
        <v>Pompa infuzyjna strzykawkowa</v>
      </c>
      <c r="C12" s="6" t="str">
        <f t="shared" si="3"/>
        <v>S1</v>
      </c>
      <c r="D12" s="6" t="str">
        <f>"0107296/09 "</f>
        <v xml:space="preserve">0107296/09 </v>
      </c>
      <c r="E12" s="6" t="str">
        <f>"802/1084"</f>
        <v>802/1084</v>
      </c>
      <c r="F12" s="6" t="str">
        <f t="shared" si="0"/>
        <v>Oddział Anestezjologii i Intensywnej Terapii</v>
      </c>
      <c r="G12" s="6" t="str">
        <f t="shared" si="1"/>
        <v>Medima Sp. z o.o.</v>
      </c>
      <c r="H12" s="6">
        <v>2009</v>
      </c>
      <c r="I12" s="6"/>
      <c r="J12" s="18">
        <v>2</v>
      </c>
      <c r="K12" s="19"/>
      <c r="L12" s="19"/>
      <c r="M12" s="19"/>
    </row>
    <row r="13" spans="1:13">
      <c r="A13" s="6">
        <v>9</v>
      </c>
      <c r="B13" s="6" t="str">
        <f t="shared" si="2"/>
        <v>Pompa infuzyjna strzykawkowa</v>
      </c>
      <c r="C13" s="6" t="str">
        <f t="shared" si="3"/>
        <v>S1</v>
      </c>
      <c r="D13" s="6" t="str">
        <f>"0107299/09 "</f>
        <v xml:space="preserve">0107299/09 </v>
      </c>
      <c r="E13" s="6" t="str">
        <f>"802/1085"</f>
        <v>802/1085</v>
      </c>
      <c r="F13" s="6" t="str">
        <f t="shared" si="0"/>
        <v>Oddział Anestezjologii i Intensywnej Terapii</v>
      </c>
      <c r="G13" s="6" t="str">
        <f t="shared" si="1"/>
        <v>Medima Sp. z o.o.</v>
      </c>
      <c r="H13" s="6">
        <v>2009</v>
      </c>
      <c r="I13" s="6"/>
      <c r="J13" s="18">
        <v>2</v>
      </c>
      <c r="K13" s="19"/>
      <c r="L13" s="19"/>
      <c r="M13" s="19"/>
    </row>
    <row r="14" spans="1:13">
      <c r="A14" s="6">
        <v>10</v>
      </c>
      <c r="B14" s="6" t="str">
        <f t="shared" si="2"/>
        <v>Pompa infuzyjna strzykawkowa</v>
      </c>
      <c r="C14" s="6" t="str">
        <f t="shared" si="3"/>
        <v>S1</v>
      </c>
      <c r="D14" s="6" t="str">
        <f>"0107293/09 "</f>
        <v xml:space="preserve">0107293/09 </v>
      </c>
      <c r="E14" s="6" t="str">
        <f>"802/1086"</f>
        <v>802/1086</v>
      </c>
      <c r="F14" s="6" t="str">
        <f t="shared" si="0"/>
        <v>Oddział Anestezjologii i Intensywnej Terapii</v>
      </c>
      <c r="G14" s="6" t="str">
        <f t="shared" si="1"/>
        <v>Medima Sp. z o.o.</v>
      </c>
      <c r="H14" s="6">
        <v>2009</v>
      </c>
      <c r="I14" s="6"/>
      <c r="J14" s="18">
        <v>2</v>
      </c>
      <c r="K14" s="19"/>
      <c r="L14" s="19"/>
      <c r="M14" s="19"/>
    </row>
    <row r="15" spans="1:13">
      <c r="A15" s="6">
        <v>11</v>
      </c>
      <c r="B15" s="6" t="str">
        <f t="shared" si="2"/>
        <v>Pompa infuzyjna strzykawkowa</v>
      </c>
      <c r="C15" s="6" t="str">
        <f t="shared" si="3"/>
        <v>S1</v>
      </c>
      <c r="D15" s="6" t="str">
        <f>"0107285/09 "</f>
        <v xml:space="preserve">0107285/09 </v>
      </c>
      <c r="E15" s="6" t="str">
        <f>"802/1095"</f>
        <v>802/1095</v>
      </c>
      <c r="F15" s="6" t="str">
        <f>"Oddział Kardiologiczny A"</f>
        <v>Oddział Kardiologiczny A</v>
      </c>
      <c r="G15" s="6" t="str">
        <f t="shared" si="1"/>
        <v>Medima Sp. z o.o.</v>
      </c>
      <c r="H15" s="6">
        <v>2009</v>
      </c>
      <c r="I15" s="6"/>
      <c r="J15" s="18">
        <v>2</v>
      </c>
      <c r="K15" s="19"/>
      <c r="L15" s="19"/>
      <c r="M15" s="19"/>
    </row>
    <row r="16" spans="1:13">
      <c r="A16" s="6">
        <v>12</v>
      </c>
      <c r="B16" s="6" t="str">
        <f t="shared" si="2"/>
        <v>Pompa infuzyjna strzykawkowa</v>
      </c>
      <c r="C16" s="6" t="str">
        <f t="shared" si="3"/>
        <v>S1</v>
      </c>
      <c r="D16" s="6" t="str">
        <f>"0107297/09 "</f>
        <v xml:space="preserve">0107297/09 </v>
      </c>
      <c r="E16" s="6" t="str">
        <f>"802/1096"</f>
        <v>802/1096</v>
      </c>
      <c r="F16" s="6" t="str">
        <f>"Oddział Kardiologiczny A"</f>
        <v>Oddział Kardiologiczny A</v>
      </c>
      <c r="G16" s="6" t="str">
        <f t="shared" si="1"/>
        <v>Medima Sp. z o.o.</v>
      </c>
      <c r="H16" s="6">
        <v>2009</v>
      </c>
      <c r="I16" s="6"/>
      <c r="J16" s="18">
        <v>2</v>
      </c>
      <c r="K16" s="19"/>
      <c r="L16" s="19"/>
      <c r="M16" s="19"/>
    </row>
    <row r="17" spans="1:13">
      <c r="A17" s="6">
        <v>13</v>
      </c>
      <c r="B17" s="6" t="str">
        <f t="shared" si="2"/>
        <v>Pompa infuzyjna strzykawkowa</v>
      </c>
      <c r="C17" s="6" t="str">
        <f t="shared" si="3"/>
        <v>S1</v>
      </c>
      <c r="D17" s="6" t="str">
        <f>"0107283/09 "</f>
        <v xml:space="preserve">0107283/09 </v>
      </c>
      <c r="E17" s="6" t="str">
        <f>"802/1097"</f>
        <v>802/1097</v>
      </c>
      <c r="F17" s="6" t="str">
        <f>"Oddział Kardiologiczny A"</f>
        <v>Oddział Kardiologiczny A</v>
      </c>
      <c r="G17" s="6" t="str">
        <f t="shared" si="1"/>
        <v>Medima Sp. z o.o.</v>
      </c>
      <c r="H17" s="6">
        <v>2009</v>
      </c>
      <c r="I17" s="6"/>
      <c r="J17" s="18">
        <v>2</v>
      </c>
      <c r="K17" s="19"/>
      <c r="L17" s="19"/>
      <c r="M17" s="19"/>
    </row>
    <row r="18" spans="1:13">
      <c r="A18" s="6">
        <v>14</v>
      </c>
      <c r="B18" s="6" t="str">
        <f t="shared" si="2"/>
        <v>Pompa infuzyjna strzykawkowa</v>
      </c>
      <c r="C18" s="6" t="str">
        <f t="shared" si="3"/>
        <v>S1</v>
      </c>
      <c r="D18" s="6" t="str">
        <f>"0107295/09 "</f>
        <v xml:space="preserve">0107295/09 </v>
      </c>
      <c r="E18" s="6" t="str">
        <f>"802/1093"</f>
        <v>802/1093</v>
      </c>
      <c r="F18" s="6" t="str">
        <f>"Oddział Kardiologiczny D"</f>
        <v>Oddział Kardiologiczny D</v>
      </c>
      <c r="G18" s="6" t="str">
        <f t="shared" si="1"/>
        <v>Medima Sp. z o.o.</v>
      </c>
      <c r="H18" s="6">
        <v>2009</v>
      </c>
      <c r="I18" s="6"/>
      <c r="J18" s="18">
        <v>2</v>
      </c>
      <c r="K18" s="19"/>
      <c r="L18" s="19"/>
      <c r="M18" s="19"/>
    </row>
    <row r="19" spans="1:13">
      <c r="A19" s="6">
        <v>15</v>
      </c>
      <c r="B19" s="6" t="str">
        <f t="shared" si="2"/>
        <v>Pompa infuzyjna strzykawkowa</v>
      </c>
      <c r="C19" s="6" t="str">
        <f t="shared" si="3"/>
        <v>S1</v>
      </c>
      <c r="D19" s="6" t="str">
        <f>"0107292/09 "</f>
        <v xml:space="preserve">0107292/09 </v>
      </c>
      <c r="E19" s="6" t="str">
        <f>"802/1094"</f>
        <v>802/1094</v>
      </c>
      <c r="F19" s="6" t="str">
        <f>"Oddział Kardiologiczny D"</f>
        <v>Oddział Kardiologiczny D</v>
      </c>
      <c r="G19" s="6" t="str">
        <f t="shared" si="1"/>
        <v>Medima Sp. z o.o.</v>
      </c>
      <c r="H19" s="6">
        <v>2009</v>
      </c>
      <c r="I19" s="6"/>
      <c r="J19" s="18">
        <v>2</v>
      </c>
      <c r="K19" s="19"/>
      <c r="L19" s="19"/>
      <c r="M19" s="19"/>
    </row>
    <row r="20" spans="1:13">
      <c r="A20" s="6">
        <v>16</v>
      </c>
      <c r="B20" s="6" t="str">
        <f t="shared" si="2"/>
        <v>Pompa infuzyjna strzykawkowa</v>
      </c>
      <c r="C20" s="6" t="str">
        <f t="shared" si="3"/>
        <v>S1</v>
      </c>
      <c r="D20" s="6" t="str">
        <f>"0107282/09 "</f>
        <v xml:space="preserve">0107282/09 </v>
      </c>
      <c r="E20" s="6" t="str">
        <f>"802/1092"</f>
        <v>802/1092</v>
      </c>
      <c r="F20" s="6" t="str">
        <f>"Pracownia Hemodynamiki"</f>
        <v>Pracownia Hemodynamiki</v>
      </c>
      <c r="G20" s="6" t="str">
        <f t="shared" si="1"/>
        <v>Medima Sp. z o.o.</v>
      </c>
      <c r="H20" s="6">
        <v>2009</v>
      </c>
      <c r="I20" s="6"/>
      <c r="J20" s="18">
        <v>2</v>
      </c>
      <c r="K20" s="19"/>
      <c r="L20" s="19"/>
      <c r="M20" s="19"/>
    </row>
    <row r="21" spans="1:13">
      <c r="A21" s="6">
        <v>17</v>
      </c>
      <c r="B21" s="6" t="str">
        <f>"Pompa infuzyjna objętościowa (perystaltyczna)"</f>
        <v>Pompa infuzyjna objętościowa (perystaltyczna)</v>
      </c>
      <c r="C21" s="6" t="str">
        <f>"P1"</f>
        <v>P1</v>
      </c>
      <c r="D21" s="6" t="str">
        <f>"0200100/10 "</f>
        <v xml:space="preserve">0200100/10 </v>
      </c>
      <c r="E21" s="6" t="str">
        <f>"802/1071"</f>
        <v>802/1071</v>
      </c>
      <c r="F21" s="6" t="str">
        <f>"Oddział Anestezjologii i Intensywnej Terapii"</f>
        <v>Oddział Anestezjologii i Intensywnej Terapii</v>
      </c>
      <c r="G21" s="6" t="str">
        <f t="shared" si="1"/>
        <v>Medima Sp. z o.o.</v>
      </c>
      <c r="H21" s="6">
        <v>2010</v>
      </c>
      <c r="I21" s="6"/>
      <c r="J21" s="18">
        <v>2</v>
      </c>
      <c r="K21" s="19"/>
      <c r="L21" s="19"/>
      <c r="M21" s="19"/>
    </row>
    <row r="22" spans="1:13">
      <c r="A22" s="6">
        <v>18</v>
      </c>
      <c r="B22" s="6" t="str">
        <f>"Pompa infuzyjna objętościowa (perystaltyczna)"</f>
        <v>Pompa infuzyjna objętościowa (perystaltyczna)</v>
      </c>
      <c r="C22" s="6" t="str">
        <f>"P1"</f>
        <v>P1</v>
      </c>
      <c r="D22" s="6" t="str">
        <f>"0200101/10 "</f>
        <v xml:space="preserve">0200101/10 </v>
      </c>
      <c r="E22" s="6" t="str">
        <f>"802/1080"</f>
        <v>802/1080</v>
      </c>
      <c r="F22" s="6" t="str">
        <f>"Oddział Patologii i Intensywnej Terapii Noworodka"</f>
        <v>Oddział Patologii i Intensywnej Terapii Noworodka</v>
      </c>
      <c r="G22" s="6" t="str">
        <f t="shared" si="1"/>
        <v>Medima Sp. z o.o.</v>
      </c>
      <c r="H22" s="6">
        <v>2010</v>
      </c>
      <c r="I22" s="6"/>
      <c r="J22" s="18">
        <v>2</v>
      </c>
      <c r="K22" s="19"/>
      <c r="L22" s="19"/>
      <c r="M22" s="19"/>
    </row>
    <row r="23" spans="1:13">
      <c r="A23" s="6">
        <v>19</v>
      </c>
      <c r="B23" s="6" t="str">
        <f>"Pompa infuzyjna objętościowa (perystaltyczna)"</f>
        <v>Pompa infuzyjna objętościowa (perystaltyczna)</v>
      </c>
      <c r="C23" s="6" t="str">
        <f>"P1"</f>
        <v>P1</v>
      </c>
      <c r="D23" s="6" t="str">
        <f>"0200102/10 "</f>
        <v xml:space="preserve">0200102/10 </v>
      </c>
      <c r="E23" s="6" t="str">
        <f>"802/1081"</f>
        <v>802/1081</v>
      </c>
      <c r="F23" s="6" t="str">
        <f>"Oddział Patologii i Intensywnej Terapii Noworodka"</f>
        <v>Oddział Patologii i Intensywnej Terapii Noworodka</v>
      </c>
      <c r="G23" s="6" t="str">
        <f t="shared" si="1"/>
        <v>Medima Sp. z o.o.</v>
      </c>
      <c r="H23" s="6">
        <v>2010</v>
      </c>
      <c r="I23" s="6"/>
      <c r="J23" s="18">
        <v>2</v>
      </c>
      <c r="K23" s="19"/>
      <c r="L23" s="19"/>
      <c r="M23" s="19"/>
    </row>
    <row r="24" spans="1:13">
      <c r="A24" s="6">
        <v>20</v>
      </c>
      <c r="B24" s="6" t="str">
        <f>"Pompa infuzyjna objętościowa (perystaltyczna)"</f>
        <v>Pompa infuzyjna objętościowa (perystaltyczna)</v>
      </c>
      <c r="C24" s="6" t="str">
        <f>"P1"</f>
        <v>P1</v>
      </c>
      <c r="D24" s="6" t="str">
        <f>"0200095/10 "</f>
        <v xml:space="preserve">0200095/10 </v>
      </c>
      <c r="E24" s="6" t="str">
        <f>"802/1070"</f>
        <v>802/1070</v>
      </c>
      <c r="F24" s="6" t="str">
        <f>"Oddział Patologii i Intensywnej Terapii Noworodka"</f>
        <v>Oddział Patologii i Intensywnej Terapii Noworodka</v>
      </c>
      <c r="G24" s="6" t="str">
        <f t="shared" si="1"/>
        <v>Medima Sp. z o.o.</v>
      </c>
      <c r="H24" s="6">
        <v>2010</v>
      </c>
      <c r="I24" s="6"/>
      <c r="J24" s="18">
        <v>2</v>
      </c>
      <c r="K24" s="19"/>
      <c r="L24" s="19"/>
      <c r="M24" s="19"/>
    </row>
    <row r="25" spans="1:13">
      <c r="A25" s="6">
        <v>21</v>
      </c>
      <c r="B25" s="6" t="str">
        <f t="shared" ref="B25:B35" si="4">"Pompa infuzyjna strzykawkowa"</f>
        <v>Pompa infuzyjna strzykawkowa</v>
      </c>
      <c r="C25" s="6" t="str">
        <f t="shared" ref="C25:C35" si="5">"S1"</f>
        <v>S1</v>
      </c>
      <c r="D25" s="6" t="str">
        <f>"0107298/09 "</f>
        <v xml:space="preserve">0107298/09 </v>
      </c>
      <c r="E25" s="6" t="str">
        <f>"802/1069"</f>
        <v>802/1069</v>
      </c>
      <c r="F25" s="6" t="str">
        <f>"Blok Operacyjny - Toruńska"</f>
        <v>Blok Operacyjny - Toruńska</v>
      </c>
      <c r="G25" s="6" t="str">
        <f t="shared" si="1"/>
        <v>Medima Sp. z o.o.</v>
      </c>
      <c r="H25" s="6">
        <v>2009</v>
      </c>
      <c r="I25" s="6"/>
      <c r="J25" s="18">
        <v>2</v>
      </c>
      <c r="K25" s="19"/>
      <c r="L25" s="19"/>
      <c r="M25" s="19"/>
    </row>
    <row r="26" spans="1:13">
      <c r="A26" s="6">
        <v>22</v>
      </c>
      <c r="B26" s="6" t="str">
        <f t="shared" si="4"/>
        <v>Pompa infuzyjna strzykawkowa</v>
      </c>
      <c r="C26" s="6" t="str">
        <f t="shared" si="5"/>
        <v>S1</v>
      </c>
      <c r="D26" s="6" t="str">
        <f>"0107280/09 "</f>
        <v xml:space="preserve">0107280/09 </v>
      </c>
      <c r="E26" s="6" t="str">
        <f>"802/1072"</f>
        <v>802/1072</v>
      </c>
      <c r="F26" s="6" t="str">
        <f t="shared" ref="F26:F33" si="6">"Oddział Patologii i Intensywnej Terapii Noworodka"</f>
        <v>Oddział Patologii i Intensywnej Terapii Noworodka</v>
      </c>
      <c r="G26" s="6" t="str">
        <f t="shared" si="1"/>
        <v>Medima Sp. z o.o.</v>
      </c>
      <c r="H26" s="6">
        <v>2009</v>
      </c>
      <c r="I26" s="6"/>
      <c r="J26" s="18">
        <v>2</v>
      </c>
      <c r="K26" s="19"/>
      <c r="L26" s="19"/>
      <c r="M26" s="19"/>
    </row>
    <row r="27" spans="1:13">
      <c r="A27" s="6">
        <v>23</v>
      </c>
      <c r="B27" s="6" t="str">
        <f t="shared" si="4"/>
        <v>Pompa infuzyjna strzykawkowa</v>
      </c>
      <c r="C27" s="6" t="str">
        <f t="shared" si="5"/>
        <v>S1</v>
      </c>
      <c r="D27" s="6" t="str">
        <f>"0101281/09 "</f>
        <v xml:space="preserve">0101281/09 </v>
      </c>
      <c r="E27" s="6" t="str">
        <f>"802/1073"</f>
        <v>802/1073</v>
      </c>
      <c r="F27" s="6" t="str">
        <f t="shared" si="6"/>
        <v>Oddział Patologii i Intensywnej Terapii Noworodka</v>
      </c>
      <c r="G27" s="6" t="str">
        <f t="shared" si="1"/>
        <v>Medima Sp. z o.o.</v>
      </c>
      <c r="H27" s="6">
        <v>2009</v>
      </c>
      <c r="I27" s="6"/>
      <c r="J27" s="18">
        <v>2</v>
      </c>
      <c r="K27" s="19"/>
      <c r="L27" s="19"/>
      <c r="M27" s="19"/>
    </row>
    <row r="28" spans="1:13">
      <c r="A28" s="6">
        <v>24</v>
      </c>
      <c r="B28" s="6" t="str">
        <f t="shared" si="4"/>
        <v>Pompa infuzyjna strzykawkowa</v>
      </c>
      <c r="C28" s="6" t="str">
        <f t="shared" si="5"/>
        <v>S1</v>
      </c>
      <c r="D28" s="6" t="str">
        <f>"0107284/09 "</f>
        <v xml:space="preserve">0107284/09 </v>
      </c>
      <c r="E28" s="6" t="str">
        <f>"802/1074"</f>
        <v>802/1074</v>
      </c>
      <c r="F28" s="6" t="str">
        <f t="shared" si="6"/>
        <v>Oddział Patologii i Intensywnej Terapii Noworodka</v>
      </c>
      <c r="G28" s="6" t="str">
        <f t="shared" si="1"/>
        <v>Medima Sp. z o.o.</v>
      </c>
      <c r="H28" s="6">
        <v>2009</v>
      </c>
      <c r="I28" s="6"/>
      <c r="J28" s="18">
        <v>2</v>
      </c>
      <c r="K28" s="19"/>
      <c r="L28" s="19"/>
      <c r="M28" s="19"/>
    </row>
    <row r="29" spans="1:13">
      <c r="A29" s="6">
        <v>25</v>
      </c>
      <c r="B29" s="6" t="str">
        <f t="shared" si="4"/>
        <v>Pompa infuzyjna strzykawkowa</v>
      </c>
      <c r="C29" s="6" t="str">
        <f t="shared" si="5"/>
        <v>S1</v>
      </c>
      <c r="D29" s="6" t="str">
        <f>"0107286/09 "</f>
        <v xml:space="preserve">0107286/09 </v>
      </c>
      <c r="E29" s="6" t="str">
        <f>"802/1075"</f>
        <v>802/1075</v>
      </c>
      <c r="F29" s="6" t="str">
        <f t="shared" si="6"/>
        <v>Oddział Patologii i Intensywnej Terapii Noworodka</v>
      </c>
      <c r="G29" s="6" t="str">
        <f t="shared" si="1"/>
        <v>Medima Sp. z o.o.</v>
      </c>
      <c r="H29" s="6">
        <v>2009</v>
      </c>
      <c r="I29" s="6"/>
      <c r="J29" s="18">
        <v>2</v>
      </c>
      <c r="K29" s="19"/>
      <c r="L29" s="19"/>
      <c r="M29" s="19"/>
    </row>
    <row r="30" spans="1:13">
      <c r="A30" s="6">
        <v>26</v>
      </c>
      <c r="B30" s="6" t="str">
        <f t="shared" si="4"/>
        <v>Pompa infuzyjna strzykawkowa</v>
      </c>
      <c r="C30" s="6" t="str">
        <f t="shared" si="5"/>
        <v>S1</v>
      </c>
      <c r="D30" s="6" t="str">
        <f>"0107287/09 "</f>
        <v xml:space="preserve">0107287/09 </v>
      </c>
      <c r="E30" s="6" t="str">
        <f>"802/1076"</f>
        <v>802/1076</v>
      </c>
      <c r="F30" s="6" t="str">
        <f t="shared" si="6"/>
        <v>Oddział Patologii i Intensywnej Terapii Noworodka</v>
      </c>
      <c r="G30" s="6" t="str">
        <f t="shared" si="1"/>
        <v>Medima Sp. z o.o.</v>
      </c>
      <c r="H30" s="6">
        <v>2009</v>
      </c>
      <c r="I30" s="6"/>
      <c r="J30" s="18">
        <v>2</v>
      </c>
      <c r="K30" s="19"/>
      <c r="L30" s="19"/>
      <c r="M30" s="19"/>
    </row>
    <row r="31" spans="1:13">
      <c r="A31" s="6">
        <v>27</v>
      </c>
      <c r="B31" s="6" t="str">
        <f t="shared" si="4"/>
        <v>Pompa infuzyjna strzykawkowa</v>
      </c>
      <c r="C31" s="6" t="str">
        <f t="shared" si="5"/>
        <v>S1</v>
      </c>
      <c r="D31" s="6" t="str">
        <f>"0107290/09 "</f>
        <v xml:space="preserve">0107290/09 </v>
      </c>
      <c r="E31" s="6" t="str">
        <f>"802/1077"</f>
        <v>802/1077</v>
      </c>
      <c r="F31" s="6" t="str">
        <f t="shared" si="6"/>
        <v>Oddział Patologii i Intensywnej Terapii Noworodka</v>
      </c>
      <c r="G31" s="6" t="str">
        <f t="shared" si="1"/>
        <v>Medima Sp. z o.o.</v>
      </c>
      <c r="H31" s="6">
        <v>2009</v>
      </c>
      <c r="I31" s="6"/>
      <c r="J31" s="18">
        <v>2</v>
      </c>
      <c r="K31" s="19"/>
      <c r="L31" s="19"/>
      <c r="M31" s="19"/>
    </row>
    <row r="32" spans="1:13">
      <c r="A32" s="6">
        <v>28</v>
      </c>
      <c r="B32" s="6" t="str">
        <f t="shared" si="4"/>
        <v>Pompa infuzyjna strzykawkowa</v>
      </c>
      <c r="C32" s="6" t="str">
        <f t="shared" si="5"/>
        <v>S1</v>
      </c>
      <c r="D32" s="6" t="str">
        <f>"0107291/09 "</f>
        <v xml:space="preserve">0107291/09 </v>
      </c>
      <c r="E32" s="6" t="str">
        <f>"802/1078"</f>
        <v>802/1078</v>
      </c>
      <c r="F32" s="6" t="str">
        <f t="shared" si="6"/>
        <v>Oddział Patologii i Intensywnej Terapii Noworodka</v>
      </c>
      <c r="G32" s="6" t="str">
        <f t="shared" si="1"/>
        <v>Medima Sp. z o.o.</v>
      </c>
      <c r="H32" s="6">
        <v>2009</v>
      </c>
      <c r="I32" s="6"/>
      <c r="J32" s="18">
        <v>2</v>
      </c>
      <c r="K32" s="19"/>
      <c r="L32" s="19"/>
      <c r="M32" s="19"/>
    </row>
    <row r="33" spans="1:13">
      <c r="A33" s="6">
        <v>29</v>
      </c>
      <c r="B33" s="6" t="str">
        <f t="shared" si="4"/>
        <v>Pompa infuzyjna strzykawkowa</v>
      </c>
      <c r="C33" s="6" t="str">
        <f t="shared" si="5"/>
        <v>S1</v>
      </c>
      <c r="D33" s="6" t="str">
        <f>"0107294/09 "</f>
        <v xml:space="preserve">0107294/09 </v>
      </c>
      <c r="E33" s="6" t="str">
        <f>"802/1079"</f>
        <v>802/1079</v>
      </c>
      <c r="F33" s="6" t="str">
        <f t="shared" si="6"/>
        <v>Oddział Patologii i Intensywnej Terapii Noworodka</v>
      </c>
      <c r="G33" s="6" t="str">
        <f t="shared" si="1"/>
        <v>Medima Sp. z o.o.</v>
      </c>
      <c r="H33" s="6">
        <v>2009</v>
      </c>
      <c r="I33" s="6"/>
      <c r="J33" s="18">
        <v>2</v>
      </c>
      <c r="K33" s="19"/>
      <c r="L33" s="19"/>
      <c r="M33" s="19"/>
    </row>
    <row r="34" spans="1:13">
      <c r="A34" s="6">
        <v>30</v>
      </c>
      <c r="B34" s="6" t="str">
        <f t="shared" si="4"/>
        <v>Pompa infuzyjna strzykawkowa</v>
      </c>
      <c r="C34" s="6" t="str">
        <f t="shared" si="5"/>
        <v>S1</v>
      </c>
      <c r="D34" s="6" t="str">
        <f>"0105332/09 "</f>
        <v xml:space="preserve">0105332/09 </v>
      </c>
      <c r="E34" s="6" t="str">
        <f>"środek niskocenny"</f>
        <v>środek niskocenny</v>
      </c>
      <c r="F34" s="6" t="str">
        <f t="shared" ref="F34:F45" si="7">"Oddział Anestezjologii i Intensywnej Terapii"</f>
        <v>Oddział Anestezjologii i Intensywnej Terapii</v>
      </c>
      <c r="G34" s="6" t="str">
        <f t="shared" si="1"/>
        <v>Medima Sp. z o.o.</v>
      </c>
      <c r="H34" s="6">
        <v>2010</v>
      </c>
      <c r="I34" s="6"/>
      <c r="J34" s="18">
        <v>2</v>
      </c>
      <c r="K34" s="19"/>
      <c r="L34" s="19"/>
      <c r="M34" s="19"/>
    </row>
    <row r="35" spans="1:13">
      <c r="A35" s="6">
        <v>31</v>
      </c>
      <c r="B35" s="6" t="str">
        <f t="shared" si="4"/>
        <v>Pompa infuzyjna strzykawkowa</v>
      </c>
      <c r="C35" s="6" t="str">
        <f t="shared" si="5"/>
        <v>S1</v>
      </c>
      <c r="D35" s="6" t="str">
        <f>"0103290/08 "</f>
        <v xml:space="preserve">0103290/08 </v>
      </c>
      <c r="E35" s="6" t="str">
        <f>"środek niskocenny"</f>
        <v>środek niskocenny</v>
      </c>
      <c r="F35" s="6" t="str">
        <f t="shared" si="7"/>
        <v>Oddział Anestezjologii i Intensywnej Terapii</v>
      </c>
      <c r="G35" s="6" t="str">
        <f t="shared" si="1"/>
        <v>Medima Sp. z o.o.</v>
      </c>
      <c r="H35" s="6">
        <v>2010</v>
      </c>
      <c r="I35" s="6"/>
      <c r="J35" s="18">
        <v>2</v>
      </c>
      <c r="K35" s="19"/>
      <c r="L35" s="19"/>
      <c r="M35" s="19"/>
    </row>
    <row r="36" spans="1:13">
      <c r="A36" s="6">
        <v>32</v>
      </c>
      <c r="B36" s="6" t="str">
        <f>"Pompa infuzyjna objętościowa (perystaltyczna)"</f>
        <v>Pompa infuzyjna objętościowa (perystaltyczna)</v>
      </c>
      <c r="C36" s="6" t="str">
        <f>"P1"</f>
        <v>P1</v>
      </c>
      <c r="D36" s="6" t="str">
        <f>"0200345/10 "</f>
        <v xml:space="preserve">0200345/10 </v>
      </c>
      <c r="E36" s="6" t="str">
        <f>"802/1221"</f>
        <v>802/1221</v>
      </c>
      <c r="F36" s="6" t="str">
        <f t="shared" si="7"/>
        <v>Oddział Anestezjologii i Intensywnej Terapii</v>
      </c>
      <c r="G36" s="6" t="str">
        <f t="shared" si="1"/>
        <v>Medima Sp. z o.o.</v>
      </c>
      <c r="H36" s="6">
        <v>2010</v>
      </c>
      <c r="I36" s="6"/>
      <c r="J36" s="18">
        <v>2</v>
      </c>
      <c r="K36" s="19"/>
      <c r="L36" s="19"/>
      <c r="M36" s="19"/>
    </row>
    <row r="37" spans="1:13">
      <c r="A37" s="6">
        <v>33</v>
      </c>
      <c r="B37" s="6" t="str">
        <f>"Pompa infuzyjna objętościowa (perystaltyczna)"</f>
        <v>Pompa infuzyjna objętościowa (perystaltyczna)</v>
      </c>
      <c r="C37" s="6" t="str">
        <f>"P1"</f>
        <v>P1</v>
      </c>
      <c r="D37" s="6" t="str">
        <f>"0200344/10 "</f>
        <v xml:space="preserve">0200344/10 </v>
      </c>
      <c r="E37" s="6" t="str">
        <f>"802/1220"</f>
        <v>802/1220</v>
      </c>
      <c r="F37" s="6" t="str">
        <f t="shared" si="7"/>
        <v>Oddział Anestezjologii i Intensywnej Terapii</v>
      </c>
      <c r="G37" s="6" t="str">
        <f t="shared" si="1"/>
        <v>Medima Sp. z o.o.</v>
      </c>
      <c r="H37" s="6">
        <v>2010</v>
      </c>
      <c r="I37" s="6"/>
      <c r="J37" s="18">
        <v>2</v>
      </c>
      <c r="K37" s="19"/>
      <c r="L37" s="19"/>
      <c r="M37" s="19"/>
    </row>
    <row r="38" spans="1:13">
      <c r="A38" s="6">
        <v>34</v>
      </c>
      <c r="B38" s="6" t="str">
        <f>"Pompa infuzyjna objętościowa (perystaltyczna)"</f>
        <v>Pompa infuzyjna objętościowa (perystaltyczna)</v>
      </c>
      <c r="C38" s="6" t="str">
        <f>"P1"</f>
        <v>P1</v>
      </c>
      <c r="D38" s="6" t="str">
        <f>"0200346/10 "</f>
        <v xml:space="preserve">0200346/10 </v>
      </c>
      <c r="E38" s="6" t="str">
        <f>"802/1219"</f>
        <v>802/1219</v>
      </c>
      <c r="F38" s="6" t="str">
        <f t="shared" si="7"/>
        <v>Oddział Anestezjologii i Intensywnej Terapii</v>
      </c>
      <c r="G38" s="6" t="str">
        <f t="shared" si="1"/>
        <v>Medima Sp. z o.o.</v>
      </c>
      <c r="H38" s="6">
        <v>2010</v>
      </c>
      <c r="I38" s="6"/>
      <c r="J38" s="18">
        <v>2</v>
      </c>
      <c r="K38" s="19"/>
      <c r="L38" s="19"/>
      <c r="M38" s="19"/>
    </row>
    <row r="39" spans="1:13">
      <c r="A39" s="6">
        <v>35</v>
      </c>
      <c r="B39" s="6" t="str">
        <f>"Pompa infuzyjna objętościowa (perystaltyczna)"</f>
        <v>Pompa infuzyjna objętościowa (perystaltyczna)</v>
      </c>
      <c r="C39" s="6" t="str">
        <f>"P1"</f>
        <v>P1</v>
      </c>
      <c r="D39" s="6" t="str">
        <f>"0200348/10 "</f>
        <v xml:space="preserve">0200348/10 </v>
      </c>
      <c r="E39" s="6" t="str">
        <f>"802/1218"</f>
        <v>802/1218</v>
      </c>
      <c r="F39" s="6" t="str">
        <f t="shared" si="7"/>
        <v>Oddział Anestezjologii i Intensywnej Terapii</v>
      </c>
      <c r="G39" s="6" t="str">
        <f t="shared" si="1"/>
        <v>Medima Sp. z o.o.</v>
      </c>
      <c r="H39" s="6">
        <v>2010</v>
      </c>
      <c r="I39" s="6"/>
      <c r="J39" s="18">
        <v>2</v>
      </c>
      <c r="K39" s="19"/>
      <c r="L39" s="19"/>
      <c r="M39" s="19"/>
    </row>
    <row r="40" spans="1:13">
      <c r="A40" s="6">
        <v>36</v>
      </c>
      <c r="B40" s="6" t="str">
        <f>"Pompa infuzyjna objętościowa (perystaltyczna)"</f>
        <v>Pompa infuzyjna objętościowa (perystaltyczna)</v>
      </c>
      <c r="C40" s="6" t="str">
        <f>"P1"</f>
        <v>P1</v>
      </c>
      <c r="D40" s="6" t="str">
        <f>"0200347/10 "</f>
        <v xml:space="preserve">0200347/10 </v>
      </c>
      <c r="E40" s="6" t="str">
        <f>"802/1222"</f>
        <v>802/1222</v>
      </c>
      <c r="F40" s="6" t="str">
        <f t="shared" si="7"/>
        <v>Oddział Anestezjologii i Intensywnej Terapii</v>
      </c>
      <c r="G40" s="6" t="str">
        <f t="shared" si="1"/>
        <v>Medima Sp. z o.o.</v>
      </c>
      <c r="H40" s="6">
        <v>2010</v>
      </c>
      <c r="I40" s="6"/>
      <c r="J40" s="18">
        <v>2</v>
      </c>
      <c r="K40" s="19"/>
      <c r="L40" s="19"/>
      <c r="M40" s="19"/>
    </row>
    <row r="41" spans="1:13">
      <c r="A41" s="6">
        <v>37</v>
      </c>
      <c r="B41" s="6" t="str">
        <f t="shared" ref="B41:B76" si="8">"Pompa infuzyjna strzykawkowa"</f>
        <v>Pompa infuzyjna strzykawkowa</v>
      </c>
      <c r="C41" s="6" t="str">
        <f t="shared" ref="C41:C58" si="9">"S1"</f>
        <v>S1</v>
      </c>
      <c r="D41" s="6" t="str">
        <f>"0109736/10 "</f>
        <v xml:space="preserve">0109736/10 </v>
      </c>
      <c r="E41" s="6" t="str">
        <f>"802/1217"</f>
        <v>802/1217</v>
      </c>
      <c r="F41" s="6" t="str">
        <f t="shared" si="7"/>
        <v>Oddział Anestezjologii i Intensywnej Terapii</v>
      </c>
      <c r="G41" s="6" t="str">
        <f t="shared" si="1"/>
        <v>Medima Sp. z o.o.</v>
      </c>
      <c r="H41" s="6">
        <v>2010</v>
      </c>
      <c r="I41" s="6"/>
      <c r="J41" s="18">
        <v>2</v>
      </c>
      <c r="K41" s="19"/>
      <c r="L41" s="19"/>
      <c r="M41" s="19"/>
    </row>
    <row r="42" spans="1:13">
      <c r="A42" s="6">
        <v>38</v>
      </c>
      <c r="B42" s="6" t="str">
        <f t="shared" si="8"/>
        <v>Pompa infuzyjna strzykawkowa</v>
      </c>
      <c r="C42" s="6" t="str">
        <f t="shared" si="9"/>
        <v>S1</v>
      </c>
      <c r="D42" s="6" t="str">
        <f>"0109746/10 "</f>
        <v xml:space="preserve">0109746/10 </v>
      </c>
      <c r="E42" s="6" t="str">
        <f>"802/1216"</f>
        <v>802/1216</v>
      </c>
      <c r="F42" s="6" t="str">
        <f t="shared" si="7"/>
        <v>Oddział Anestezjologii i Intensywnej Terapii</v>
      </c>
      <c r="G42" s="6" t="str">
        <f t="shared" si="1"/>
        <v>Medima Sp. z o.o.</v>
      </c>
      <c r="H42" s="6">
        <v>2010</v>
      </c>
      <c r="I42" s="6"/>
      <c r="J42" s="18">
        <v>2</v>
      </c>
      <c r="K42" s="19"/>
      <c r="L42" s="19"/>
      <c r="M42" s="19"/>
    </row>
    <row r="43" spans="1:13">
      <c r="A43" s="6">
        <v>39</v>
      </c>
      <c r="B43" s="6" t="str">
        <f t="shared" si="8"/>
        <v>Pompa infuzyjna strzykawkowa</v>
      </c>
      <c r="C43" s="6" t="str">
        <f t="shared" si="9"/>
        <v>S1</v>
      </c>
      <c r="D43" s="6" t="str">
        <f>"0109735/10 "</f>
        <v xml:space="preserve">0109735/10 </v>
      </c>
      <c r="E43" s="6" t="str">
        <f>"802/1215"</f>
        <v>802/1215</v>
      </c>
      <c r="F43" s="6" t="str">
        <f t="shared" si="7"/>
        <v>Oddział Anestezjologii i Intensywnej Terapii</v>
      </c>
      <c r="G43" s="6" t="str">
        <f t="shared" si="1"/>
        <v>Medima Sp. z o.o.</v>
      </c>
      <c r="H43" s="6">
        <v>2010</v>
      </c>
      <c r="I43" s="6"/>
      <c r="J43" s="18">
        <v>2</v>
      </c>
      <c r="K43" s="19"/>
      <c r="L43" s="19"/>
      <c r="M43" s="19"/>
    </row>
    <row r="44" spans="1:13">
      <c r="A44" s="6">
        <v>40</v>
      </c>
      <c r="B44" s="6" t="str">
        <f t="shared" si="8"/>
        <v>Pompa infuzyjna strzykawkowa</v>
      </c>
      <c r="C44" s="6" t="str">
        <f t="shared" si="9"/>
        <v>S1</v>
      </c>
      <c r="D44" s="6" t="str">
        <f>"0109734/10 "</f>
        <v xml:space="preserve">0109734/10 </v>
      </c>
      <c r="E44" s="6" t="str">
        <f>"802/1214"</f>
        <v>802/1214</v>
      </c>
      <c r="F44" s="6" t="str">
        <f t="shared" si="7"/>
        <v>Oddział Anestezjologii i Intensywnej Terapii</v>
      </c>
      <c r="G44" s="6" t="str">
        <f t="shared" si="1"/>
        <v>Medima Sp. z o.o.</v>
      </c>
      <c r="H44" s="6">
        <v>2010</v>
      </c>
      <c r="I44" s="6"/>
      <c r="J44" s="18">
        <v>2</v>
      </c>
      <c r="K44" s="19"/>
      <c r="L44" s="19"/>
      <c r="M44" s="19"/>
    </row>
    <row r="45" spans="1:13">
      <c r="A45" s="6">
        <v>41</v>
      </c>
      <c r="B45" s="6" t="str">
        <f t="shared" si="8"/>
        <v>Pompa infuzyjna strzykawkowa</v>
      </c>
      <c r="C45" s="6" t="str">
        <f t="shared" si="9"/>
        <v>S1</v>
      </c>
      <c r="D45" s="6" t="str">
        <f>"0109737/10 "</f>
        <v xml:space="preserve">0109737/10 </v>
      </c>
      <c r="E45" s="6" t="str">
        <f>"802/1213"</f>
        <v>802/1213</v>
      </c>
      <c r="F45" s="6" t="str">
        <f t="shared" si="7"/>
        <v>Oddział Anestezjologii i Intensywnej Terapii</v>
      </c>
      <c r="G45" s="6" t="str">
        <f t="shared" si="1"/>
        <v>Medima Sp. z o.o.</v>
      </c>
      <c r="H45" s="6">
        <v>2010</v>
      </c>
      <c r="I45" s="6"/>
      <c r="J45" s="18">
        <v>2</v>
      </c>
      <c r="K45" s="19"/>
      <c r="L45" s="19"/>
      <c r="M45" s="19"/>
    </row>
    <row r="46" spans="1:13">
      <c r="A46" s="6">
        <v>42</v>
      </c>
      <c r="B46" s="6" t="str">
        <f t="shared" si="8"/>
        <v>Pompa infuzyjna strzykawkowa</v>
      </c>
      <c r="C46" s="6" t="str">
        <f t="shared" si="9"/>
        <v>S1</v>
      </c>
      <c r="D46" s="6" t="str">
        <f>"0109740/10 "</f>
        <v xml:space="preserve">0109740/10 </v>
      </c>
      <c r="E46" s="6" t="str">
        <f>"802/1212"</f>
        <v>802/1212</v>
      </c>
      <c r="F46" s="6" t="str">
        <f>"Oddział Kardiologiczny A"</f>
        <v>Oddział Kardiologiczny A</v>
      </c>
      <c r="G46" s="6" t="str">
        <f t="shared" si="1"/>
        <v>Medima Sp. z o.o.</v>
      </c>
      <c r="H46" s="6">
        <v>2010</v>
      </c>
      <c r="I46" s="6"/>
      <c r="J46" s="18">
        <v>2</v>
      </c>
      <c r="K46" s="19"/>
      <c r="L46" s="19"/>
      <c r="M46" s="19"/>
    </row>
    <row r="47" spans="1:13">
      <c r="A47" s="6">
        <v>43</v>
      </c>
      <c r="B47" s="6" t="str">
        <f t="shared" si="8"/>
        <v>Pompa infuzyjna strzykawkowa</v>
      </c>
      <c r="C47" s="6" t="str">
        <f t="shared" si="9"/>
        <v>S1</v>
      </c>
      <c r="D47" s="6" t="str">
        <f>"0109730/10 "</f>
        <v xml:space="preserve">0109730/10 </v>
      </c>
      <c r="E47" s="6" t="str">
        <f>"802/1211"</f>
        <v>802/1211</v>
      </c>
      <c r="F47" s="6" t="str">
        <f>"Oddział Kardiologiczny A"</f>
        <v>Oddział Kardiologiczny A</v>
      </c>
      <c r="G47" s="6" t="str">
        <f t="shared" si="1"/>
        <v>Medima Sp. z o.o.</v>
      </c>
      <c r="H47" s="6">
        <v>2010</v>
      </c>
      <c r="I47" s="6"/>
      <c r="J47" s="18">
        <v>2</v>
      </c>
      <c r="K47" s="19"/>
      <c r="L47" s="19"/>
      <c r="M47" s="19"/>
    </row>
    <row r="48" spans="1:13">
      <c r="A48" s="6">
        <v>44</v>
      </c>
      <c r="B48" s="6" t="str">
        <f t="shared" si="8"/>
        <v>Pompa infuzyjna strzykawkowa</v>
      </c>
      <c r="C48" s="6" t="str">
        <f t="shared" si="9"/>
        <v>S1</v>
      </c>
      <c r="D48" s="6" t="str">
        <f>"0109732/10 "</f>
        <v xml:space="preserve">0109732/10 </v>
      </c>
      <c r="E48" s="6" t="str">
        <f>"802/1210"</f>
        <v>802/1210</v>
      </c>
      <c r="F48" s="6" t="str">
        <f>"Oddział Kardiologiczny A"</f>
        <v>Oddział Kardiologiczny A</v>
      </c>
      <c r="G48" s="6" t="str">
        <f t="shared" si="1"/>
        <v>Medima Sp. z o.o.</v>
      </c>
      <c r="H48" s="6">
        <v>2010</v>
      </c>
      <c r="I48" s="6"/>
      <c r="J48" s="18">
        <v>2</v>
      </c>
      <c r="K48" s="19"/>
      <c r="L48" s="19"/>
      <c r="M48" s="19"/>
    </row>
    <row r="49" spans="1:13">
      <c r="A49" s="6">
        <v>45</v>
      </c>
      <c r="B49" s="6" t="str">
        <f t="shared" si="8"/>
        <v>Pompa infuzyjna strzykawkowa</v>
      </c>
      <c r="C49" s="6" t="str">
        <f t="shared" si="9"/>
        <v>S1</v>
      </c>
      <c r="D49" s="6" t="str">
        <f>"0109738/10 "</f>
        <v xml:space="preserve">0109738/10 </v>
      </c>
      <c r="E49" s="6" t="str">
        <f>"802/1209"</f>
        <v>802/1209</v>
      </c>
      <c r="F49" s="6" t="str">
        <f>"Oddział Kardiologiczny A"</f>
        <v>Oddział Kardiologiczny A</v>
      </c>
      <c r="G49" s="6" t="str">
        <f t="shared" si="1"/>
        <v>Medima Sp. z o.o.</v>
      </c>
      <c r="H49" s="6">
        <v>2010</v>
      </c>
      <c r="I49" s="6"/>
      <c r="J49" s="18">
        <v>2</v>
      </c>
      <c r="K49" s="19"/>
      <c r="L49" s="19"/>
      <c r="M49" s="19"/>
    </row>
    <row r="50" spans="1:13">
      <c r="A50" s="6">
        <v>46</v>
      </c>
      <c r="B50" s="6" t="str">
        <f t="shared" si="8"/>
        <v>Pompa infuzyjna strzykawkowa</v>
      </c>
      <c r="C50" s="6" t="str">
        <f t="shared" si="9"/>
        <v>S1</v>
      </c>
      <c r="D50" s="6" t="str">
        <f>"0109731/10 "</f>
        <v xml:space="preserve">0109731/10 </v>
      </c>
      <c r="E50" s="6" t="str">
        <f>"802/1208"</f>
        <v>802/1208</v>
      </c>
      <c r="F50" s="6" t="str">
        <f>"Oddział Kardiologiczny A"</f>
        <v>Oddział Kardiologiczny A</v>
      </c>
      <c r="G50" s="6" t="str">
        <f t="shared" si="1"/>
        <v>Medima Sp. z o.o.</v>
      </c>
      <c r="H50" s="6">
        <v>2010</v>
      </c>
      <c r="I50" s="6"/>
      <c r="J50" s="18">
        <v>2</v>
      </c>
      <c r="K50" s="19"/>
      <c r="L50" s="19"/>
      <c r="M50" s="19"/>
    </row>
    <row r="51" spans="1:13">
      <c r="A51" s="6">
        <v>47</v>
      </c>
      <c r="B51" s="6" t="str">
        <f t="shared" si="8"/>
        <v>Pompa infuzyjna strzykawkowa</v>
      </c>
      <c r="C51" s="6" t="str">
        <f t="shared" si="9"/>
        <v>S1</v>
      </c>
      <c r="D51" s="6" t="str">
        <f>"0109741/10 "</f>
        <v xml:space="preserve">0109741/10 </v>
      </c>
      <c r="E51" s="6" t="str">
        <f>"802/1204"</f>
        <v>802/1204</v>
      </c>
      <c r="F51" s="6" t="str">
        <f t="shared" ref="F51:F58" si="10">"Oddział Patologii i Intensywnej Terapii Noworodka"</f>
        <v>Oddział Patologii i Intensywnej Terapii Noworodka</v>
      </c>
      <c r="G51" s="6" t="str">
        <f t="shared" si="1"/>
        <v>Medima Sp. z o.o.</v>
      </c>
      <c r="H51" s="6">
        <v>2010</v>
      </c>
      <c r="I51" s="6"/>
      <c r="J51" s="18">
        <v>2</v>
      </c>
      <c r="K51" s="19"/>
      <c r="L51" s="19"/>
      <c r="M51" s="19"/>
    </row>
    <row r="52" spans="1:13">
      <c r="A52" s="6">
        <v>48</v>
      </c>
      <c r="B52" s="6" t="str">
        <f t="shared" si="8"/>
        <v>Pompa infuzyjna strzykawkowa</v>
      </c>
      <c r="C52" s="6" t="str">
        <f t="shared" si="9"/>
        <v>S1</v>
      </c>
      <c r="D52" s="6" t="str">
        <f>"0109742/10 "</f>
        <v xml:space="preserve">0109742/10 </v>
      </c>
      <c r="E52" s="6" t="str">
        <f>"802/1205"</f>
        <v>802/1205</v>
      </c>
      <c r="F52" s="6" t="str">
        <f t="shared" si="10"/>
        <v>Oddział Patologii i Intensywnej Terapii Noworodka</v>
      </c>
      <c r="G52" s="6" t="str">
        <f t="shared" si="1"/>
        <v>Medima Sp. z o.o.</v>
      </c>
      <c r="H52" s="6">
        <v>2010</v>
      </c>
      <c r="I52" s="6"/>
      <c r="J52" s="18">
        <v>2</v>
      </c>
      <c r="K52" s="19"/>
      <c r="L52" s="19"/>
      <c r="M52" s="19"/>
    </row>
    <row r="53" spans="1:13">
      <c r="A53" s="6">
        <v>49</v>
      </c>
      <c r="B53" s="6" t="str">
        <f t="shared" si="8"/>
        <v>Pompa infuzyjna strzykawkowa</v>
      </c>
      <c r="C53" s="6" t="str">
        <f t="shared" si="9"/>
        <v>S1</v>
      </c>
      <c r="D53" s="6" t="str">
        <f>"0109747/10 "</f>
        <v xml:space="preserve">0109747/10 </v>
      </c>
      <c r="E53" s="6" t="str">
        <f>"802/1206"</f>
        <v>802/1206</v>
      </c>
      <c r="F53" s="6" t="str">
        <f t="shared" si="10"/>
        <v>Oddział Patologii i Intensywnej Terapii Noworodka</v>
      </c>
      <c r="G53" s="6" t="str">
        <f t="shared" si="1"/>
        <v>Medima Sp. z o.o.</v>
      </c>
      <c r="H53" s="6">
        <v>2010</v>
      </c>
      <c r="I53" s="6"/>
      <c r="J53" s="18">
        <v>2</v>
      </c>
      <c r="K53" s="19"/>
      <c r="L53" s="19"/>
      <c r="M53" s="19"/>
    </row>
    <row r="54" spans="1:13">
      <c r="A54" s="6">
        <v>50</v>
      </c>
      <c r="B54" s="6" t="str">
        <f t="shared" si="8"/>
        <v>Pompa infuzyjna strzykawkowa</v>
      </c>
      <c r="C54" s="6" t="str">
        <f t="shared" si="9"/>
        <v>S1</v>
      </c>
      <c r="D54" s="6" t="str">
        <f>"0109744/10 "</f>
        <v xml:space="preserve">0109744/10 </v>
      </c>
      <c r="E54" s="6" t="str">
        <f>"802/1207"</f>
        <v>802/1207</v>
      </c>
      <c r="F54" s="6" t="str">
        <f t="shared" si="10"/>
        <v>Oddział Patologii i Intensywnej Terapii Noworodka</v>
      </c>
      <c r="G54" s="6" t="str">
        <f t="shared" si="1"/>
        <v>Medima Sp. z o.o.</v>
      </c>
      <c r="H54" s="6">
        <v>2010</v>
      </c>
      <c r="I54" s="6"/>
      <c r="J54" s="18">
        <v>2</v>
      </c>
      <c r="K54" s="19"/>
      <c r="L54" s="19"/>
      <c r="M54" s="19"/>
    </row>
    <row r="55" spans="1:13">
      <c r="A55" s="6">
        <v>51</v>
      </c>
      <c r="B55" s="6" t="str">
        <f t="shared" si="8"/>
        <v>Pompa infuzyjna strzykawkowa</v>
      </c>
      <c r="C55" s="6" t="str">
        <f t="shared" si="9"/>
        <v>S1</v>
      </c>
      <c r="D55" s="6" t="str">
        <f>"0109743/10 "</f>
        <v xml:space="preserve">0109743/10 </v>
      </c>
      <c r="E55" s="6" t="str">
        <f>"802/1203"</f>
        <v>802/1203</v>
      </c>
      <c r="F55" s="6" t="str">
        <f t="shared" si="10"/>
        <v>Oddział Patologii i Intensywnej Terapii Noworodka</v>
      </c>
      <c r="G55" s="6" t="str">
        <f t="shared" si="1"/>
        <v>Medima Sp. z o.o.</v>
      </c>
      <c r="H55" s="6">
        <v>2010</v>
      </c>
      <c r="I55" s="6"/>
      <c r="J55" s="18">
        <v>2</v>
      </c>
      <c r="K55" s="19"/>
      <c r="L55" s="19"/>
      <c r="M55" s="19"/>
    </row>
    <row r="56" spans="1:13">
      <c r="A56" s="6">
        <v>52</v>
      </c>
      <c r="B56" s="6" t="str">
        <f t="shared" si="8"/>
        <v>Pompa infuzyjna strzykawkowa</v>
      </c>
      <c r="C56" s="6" t="str">
        <f t="shared" si="9"/>
        <v>S1</v>
      </c>
      <c r="D56" s="6" t="str">
        <f>"0109739/10 "</f>
        <v xml:space="preserve">0109739/10 </v>
      </c>
      <c r="E56" s="6" t="str">
        <f>"802/1202"</f>
        <v>802/1202</v>
      </c>
      <c r="F56" s="6" t="str">
        <f t="shared" si="10"/>
        <v>Oddział Patologii i Intensywnej Terapii Noworodka</v>
      </c>
      <c r="G56" s="6" t="str">
        <f t="shared" si="1"/>
        <v>Medima Sp. z o.o.</v>
      </c>
      <c r="H56" s="6">
        <v>2010</v>
      </c>
      <c r="I56" s="6"/>
      <c r="J56" s="18">
        <v>2</v>
      </c>
      <c r="K56" s="19"/>
      <c r="L56" s="19"/>
      <c r="M56" s="19"/>
    </row>
    <row r="57" spans="1:13">
      <c r="A57" s="6">
        <v>53</v>
      </c>
      <c r="B57" s="6" t="str">
        <f t="shared" si="8"/>
        <v>Pompa infuzyjna strzykawkowa</v>
      </c>
      <c r="C57" s="6" t="str">
        <f t="shared" si="9"/>
        <v>S1</v>
      </c>
      <c r="D57" s="6" t="str">
        <f>"0109733/10 "</f>
        <v xml:space="preserve">0109733/10 </v>
      </c>
      <c r="E57" s="6" t="str">
        <f>"802/1201"</f>
        <v>802/1201</v>
      </c>
      <c r="F57" s="6" t="str">
        <f t="shared" si="10"/>
        <v>Oddział Patologii i Intensywnej Terapii Noworodka</v>
      </c>
      <c r="G57" s="6" t="str">
        <f t="shared" si="1"/>
        <v>Medima Sp. z o.o.</v>
      </c>
      <c r="H57" s="6">
        <v>2010</v>
      </c>
      <c r="I57" s="6"/>
      <c r="J57" s="18">
        <v>2</v>
      </c>
      <c r="K57" s="19"/>
      <c r="L57" s="19"/>
      <c r="M57" s="19"/>
    </row>
    <row r="58" spans="1:13">
      <c r="A58" s="6">
        <v>54</v>
      </c>
      <c r="B58" s="6" t="str">
        <f t="shared" si="8"/>
        <v>Pompa infuzyjna strzykawkowa</v>
      </c>
      <c r="C58" s="6" t="str">
        <f t="shared" si="9"/>
        <v>S1</v>
      </c>
      <c r="D58" s="6" t="str">
        <f>"0109745/10 "</f>
        <v xml:space="preserve">0109745/10 </v>
      </c>
      <c r="E58" s="6" t="str">
        <f>"802/1200"</f>
        <v>802/1200</v>
      </c>
      <c r="F58" s="6" t="str">
        <f t="shared" si="10"/>
        <v>Oddział Patologii i Intensywnej Terapii Noworodka</v>
      </c>
      <c r="G58" s="6" t="str">
        <f t="shared" si="1"/>
        <v>Medima Sp. z o.o.</v>
      </c>
      <c r="H58" s="6">
        <v>2010</v>
      </c>
      <c r="I58" s="6"/>
      <c r="J58" s="18">
        <v>2</v>
      </c>
      <c r="K58" s="19"/>
      <c r="L58" s="19"/>
      <c r="M58" s="19"/>
    </row>
    <row r="59" spans="1:13">
      <c r="A59" s="6">
        <v>55</v>
      </c>
      <c r="B59" s="6" t="str">
        <f t="shared" si="8"/>
        <v>Pompa infuzyjna strzykawkowa</v>
      </c>
      <c r="C59" s="6" t="str">
        <f t="shared" ref="C59:C76" si="11">"S2"</f>
        <v>S2</v>
      </c>
      <c r="D59" s="6" t="str">
        <f>"0110185/11 "</f>
        <v xml:space="preserve">0110185/11 </v>
      </c>
      <c r="E59" s="6" t="str">
        <f>"802/1269"</f>
        <v>802/1269</v>
      </c>
      <c r="F59" s="6" t="str">
        <f t="shared" ref="F59:F76" si="12">"Szpitalny Oddział Ratunkowy"</f>
        <v>Szpitalny Oddział Ratunkowy</v>
      </c>
      <c r="G59" s="6" t="str">
        <f t="shared" si="1"/>
        <v>Medima Sp. z o.o.</v>
      </c>
      <c r="H59" s="6">
        <v>2011</v>
      </c>
      <c r="I59" s="6"/>
      <c r="J59" s="18">
        <v>2</v>
      </c>
      <c r="K59" s="19"/>
      <c r="L59" s="19"/>
      <c r="M59" s="19"/>
    </row>
    <row r="60" spans="1:13">
      <c r="A60" s="6">
        <v>56</v>
      </c>
      <c r="B60" s="6" t="str">
        <f t="shared" si="8"/>
        <v>Pompa infuzyjna strzykawkowa</v>
      </c>
      <c r="C60" s="6" t="str">
        <f t="shared" si="11"/>
        <v>S2</v>
      </c>
      <c r="D60" s="6" t="str">
        <f>"0110186/11 "</f>
        <v xml:space="preserve">0110186/11 </v>
      </c>
      <c r="E60" s="6" t="str">
        <f>"802/1270"</f>
        <v>802/1270</v>
      </c>
      <c r="F60" s="6" t="str">
        <f t="shared" si="12"/>
        <v>Szpitalny Oddział Ratunkowy</v>
      </c>
      <c r="G60" s="6" t="str">
        <f t="shared" si="1"/>
        <v>Medima Sp. z o.o.</v>
      </c>
      <c r="H60" s="6">
        <v>2011</v>
      </c>
      <c r="I60" s="6"/>
      <c r="J60" s="18">
        <v>2</v>
      </c>
      <c r="K60" s="19"/>
      <c r="L60" s="19"/>
      <c r="M60" s="19"/>
    </row>
    <row r="61" spans="1:13">
      <c r="A61" s="6">
        <v>57</v>
      </c>
      <c r="B61" s="6" t="str">
        <f t="shared" si="8"/>
        <v>Pompa infuzyjna strzykawkowa</v>
      </c>
      <c r="C61" s="6" t="str">
        <f t="shared" si="11"/>
        <v>S2</v>
      </c>
      <c r="D61" s="6" t="str">
        <f>"0110184/11 "</f>
        <v xml:space="preserve">0110184/11 </v>
      </c>
      <c r="E61" s="6" t="str">
        <f>"802/1290"</f>
        <v>802/1290</v>
      </c>
      <c r="F61" s="6" t="str">
        <f t="shared" si="12"/>
        <v>Szpitalny Oddział Ratunkowy</v>
      </c>
      <c r="G61" s="6" t="str">
        <f t="shared" si="1"/>
        <v>Medima Sp. z o.o.</v>
      </c>
      <c r="H61" s="6">
        <v>2011</v>
      </c>
      <c r="I61" s="6"/>
      <c r="J61" s="18">
        <v>2</v>
      </c>
      <c r="K61" s="19"/>
      <c r="L61" s="19"/>
      <c r="M61" s="19"/>
    </row>
    <row r="62" spans="1:13">
      <c r="A62" s="6">
        <v>58</v>
      </c>
      <c r="B62" s="6" t="str">
        <f t="shared" si="8"/>
        <v>Pompa infuzyjna strzykawkowa</v>
      </c>
      <c r="C62" s="6" t="str">
        <f t="shared" si="11"/>
        <v>S2</v>
      </c>
      <c r="D62" s="6" t="str">
        <f>"0110183/11 "</f>
        <v xml:space="preserve">0110183/11 </v>
      </c>
      <c r="E62" s="6" t="str">
        <f>"802/1289"</f>
        <v>802/1289</v>
      </c>
      <c r="F62" s="6" t="str">
        <f t="shared" si="12"/>
        <v>Szpitalny Oddział Ratunkowy</v>
      </c>
      <c r="G62" s="6" t="str">
        <f t="shared" si="1"/>
        <v>Medima Sp. z o.o.</v>
      </c>
      <c r="H62" s="6">
        <v>2011</v>
      </c>
      <c r="I62" s="6"/>
      <c r="J62" s="18">
        <v>2</v>
      </c>
      <c r="K62" s="19"/>
      <c r="L62" s="19"/>
      <c r="M62" s="19"/>
    </row>
    <row r="63" spans="1:13">
      <c r="A63" s="6">
        <v>59</v>
      </c>
      <c r="B63" s="6" t="str">
        <f t="shared" si="8"/>
        <v>Pompa infuzyjna strzykawkowa</v>
      </c>
      <c r="C63" s="6" t="str">
        <f t="shared" si="11"/>
        <v>S2</v>
      </c>
      <c r="D63" s="6" t="str">
        <f>"0110182/11 "</f>
        <v xml:space="preserve">0110182/11 </v>
      </c>
      <c r="E63" s="6" t="str">
        <f>"802/1288"</f>
        <v>802/1288</v>
      </c>
      <c r="F63" s="6" t="str">
        <f t="shared" si="12"/>
        <v>Szpitalny Oddział Ratunkowy</v>
      </c>
      <c r="G63" s="6" t="str">
        <f t="shared" si="1"/>
        <v>Medima Sp. z o.o.</v>
      </c>
      <c r="H63" s="6">
        <v>2011</v>
      </c>
      <c r="I63" s="6"/>
      <c r="J63" s="18">
        <v>2</v>
      </c>
      <c r="K63" s="19"/>
      <c r="L63" s="19"/>
      <c r="M63" s="19"/>
    </row>
    <row r="64" spans="1:13">
      <c r="A64" s="6">
        <v>60</v>
      </c>
      <c r="B64" s="6" t="str">
        <f t="shared" si="8"/>
        <v>Pompa infuzyjna strzykawkowa</v>
      </c>
      <c r="C64" s="6" t="str">
        <f t="shared" si="11"/>
        <v>S2</v>
      </c>
      <c r="D64" s="6" t="str">
        <f>"0110181/11 "</f>
        <v xml:space="preserve">0110181/11 </v>
      </c>
      <c r="E64" s="6" t="str">
        <f>"802/1287"</f>
        <v>802/1287</v>
      </c>
      <c r="F64" s="6" t="str">
        <f t="shared" si="12"/>
        <v>Szpitalny Oddział Ratunkowy</v>
      </c>
      <c r="G64" s="6" t="str">
        <f t="shared" si="1"/>
        <v>Medima Sp. z o.o.</v>
      </c>
      <c r="H64" s="6">
        <v>2011</v>
      </c>
      <c r="I64" s="6"/>
      <c r="J64" s="18">
        <v>2</v>
      </c>
      <c r="K64" s="19"/>
      <c r="L64" s="19"/>
      <c r="M64" s="19"/>
    </row>
    <row r="65" spans="1:13">
      <c r="A65" s="6">
        <v>61</v>
      </c>
      <c r="B65" s="6" t="str">
        <f t="shared" si="8"/>
        <v>Pompa infuzyjna strzykawkowa</v>
      </c>
      <c r="C65" s="6" t="str">
        <f t="shared" si="11"/>
        <v>S2</v>
      </c>
      <c r="D65" s="6" t="str">
        <f>"0110169/11 "</f>
        <v xml:space="preserve">0110169/11 </v>
      </c>
      <c r="E65" s="6" t="str">
        <f>"802/1286"</f>
        <v>802/1286</v>
      </c>
      <c r="F65" s="6" t="str">
        <f t="shared" si="12"/>
        <v>Szpitalny Oddział Ratunkowy</v>
      </c>
      <c r="G65" s="6" t="str">
        <f t="shared" si="1"/>
        <v>Medima Sp. z o.o.</v>
      </c>
      <c r="H65" s="6">
        <v>2011</v>
      </c>
      <c r="I65" s="6"/>
      <c r="J65" s="18">
        <v>2</v>
      </c>
      <c r="K65" s="19"/>
      <c r="L65" s="19"/>
      <c r="M65" s="19"/>
    </row>
    <row r="66" spans="1:13">
      <c r="A66" s="6">
        <v>62</v>
      </c>
      <c r="B66" s="6" t="str">
        <f t="shared" si="8"/>
        <v>Pompa infuzyjna strzykawkowa</v>
      </c>
      <c r="C66" s="6" t="str">
        <f t="shared" si="11"/>
        <v>S2</v>
      </c>
      <c r="D66" s="6" t="str">
        <f>"0110170/11 "</f>
        <v xml:space="preserve">0110170/11 </v>
      </c>
      <c r="E66" s="6" t="str">
        <f>"802/1285"</f>
        <v>802/1285</v>
      </c>
      <c r="F66" s="6" t="str">
        <f t="shared" si="12"/>
        <v>Szpitalny Oddział Ratunkowy</v>
      </c>
      <c r="G66" s="6" t="str">
        <f t="shared" si="1"/>
        <v>Medima Sp. z o.o.</v>
      </c>
      <c r="H66" s="6">
        <v>2011</v>
      </c>
      <c r="I66" s="6"/>
      <c r="J66" s="18">
        <v>2</v>
      </c>
      <c r="K66" s="19"/>
      <c r="L66" s="19"/>
      <c r="M66" s="19"/>
    </row>
    <row r="67" spans="1:13">
      <c r="A67" s="6">
        <v>63</v>
      </c>
      <c r="B67" s="6" t="str">
        <f t="shared" si="8"/>
        <v>Pompa infuzyjna strzykawkowa</v>
      </c>
      <c r="C67" s="6" t="str">
        <f t="shared" si="11"/>
        <v>S2</v>
      </c>
      <c r="D67" s="6" t="str">
        <f>"0110171/11 "</f>
        <v xml:space="preserve">0110171/11 </v>
      </c>
      <c r="E67" s="6" t="str">
        <f>"802/1284"</f>
        <v>802/1284</v>
      </c>
      <c r="F67" s="6" t="str">
        <f t="shared" si="12"/>
        <v>Szpitalny Oddział Ratunkowy</v>
      </c>
      <c r="G67" s="6" t="str">
        <f t="shared" si="1"/>
        <v>Medima Sp. z o.o.</v>
      </c>
      <c r="H67" s="6">
        <v>2011</v>
      </c>
      <c r="I67" s="6"/>
      <c r="J67" s="18">
        <v>2</v>
      </c>
      <c r="K67" s="19"/>
      <c r="L67" s="19"/>
      <c r="M67" s="19"/>
    </row>
    <row r="68" spans="1:13">
      <c r="A68" s="6">
        <v>64</v>
      </c>
      <c r="B68" s="6" t="str">
        <f t="shared" si="8"/>
        <v>Pompa infuzyjna strzykawkowa</v>
      </c>
      <c r="C68" s="6" t="str">
        <f t="shared" si="11"/>
        <v>S2</v>
      </c>
      <c r="D68" s="6" t="str">
        <f>"0110172/11 "</f>
        <v xml:space="preserve">0110172/11 </v>
      </c>
      <c r="E68" s="6" t="str">
        <f>"802/1283"</f>
        <v>802/1283</v>
      </c>
      <c r="F68" s="6" t="str">
        <f t="shared" si="12"/>
        <v>Szpitalny Oddział Ratunkowy</v>
      </c>
      <c r="G68" s="6" t="str">
        <f t="shared" si="1"/>
        <v>Medima Sp. z o.o.</v>
      </c>
      <c r="H68" s="6">
        <v>2011</v>
      </c>
      <c r="I68" s="6"/>
      <c r="J68" s="18">
        <v>2</v>
      </c>
      <c r="K68" s="19"/>
      <c r="L68" s="19"/>
      <c r="M68" s="19"/>
    </row>
    <row r="69" spans="1:13">
      <c r="A69" s="6">
        <v>65</v>
      </c>
      <c r="B69" s="6" t="str">
        <f t="shared" si="8"/>
        <v>Pompa infuzyjna strzykawkowa</v>
      </c>
      <c r="C69" s="6" t="str">
        <f t="shared" si="11"/>
        <v>S2</v>
      </c>
      <c r="D69" s="6" t="str">
        <f>"0110173/11 "</f>
        <v xml:space="preserve">0110173/11 </v>
      </c>
      <c r="E69" s="6" t="str">
        <f>"802/1282"</f>
        <v>802/1282</v>
      </c>
      <c r="F69" s="6" t="str">
        <f t="shared" si="12"/>
        <v>Szpitalny Oddział Ratunkowy</v>
      </c>
      <c r="G69" s="6" t="str">
        <f t="shared" ref="G69:G132" si="13">"Medima Sp. z o.o."</f>
        <v>Medima Sp. z o.o.</v>
      </c>
      <c r="H69" s="6">
        <v>2011</v>
      </c>
      <c r="I69" s="6"/>
      <c r="J69" s="18">
        <v>2</v>
      </c>
      <c r="K69" s="19"/>
      <c r="L69" s="19"/>
      <c r="M69" s="19"/>
    </row>
    <row r="70" spans="1:13">
      <c r="A70" s="6">
        <v>66</v>
      </c>
      <c r="B70" s="6" t="str">
        <f t="shared" si="8"/>
        <v>Pompa infuzyjna strzykawkowa</v>
      </c>
      <c r="C70" s="6" t="str">
        <f t="shared" si="11"/>
        <v>S2</v>
      </c>
      <c r="D70" s="6" t="str">
        <f>"0110174/11 "</f>
        <v xml:space="preserve">0110174/11 </v>
      </c>
      <c r="E70" s="6" t="str">
        <f>"802/1281"</f>
        <v>802/1281</v>
      </c>
      <c r="F70" s="6" t="str">
        <f t="shared" si="12"/>
        <v>Szpitalny Oddział Ratunkowy</v>
      </c>
      <c r="G70" s="6" t="str">
        <f t="shared" si="13"/>
        <v>Medima Sp. z o.o.</v>
      </c>
      <c r="H70" s="6">
        <v>2011</v>
      </c>
      <c r="I70" s="6"/>
      <c r="J70" s="18">
        <v>2</v>
      </c>
      <c r="K70" s="19"/>
      <c r="L70" s="19"/>
      <c r="M70" s="19"/>
    </row>
    <row r="71" spans="1:13">
      <c r="A71" s="6">
        <v>67</v>
      </c>
      <c r="B71" s="6" t="str">
        <f t="shared" si="8"/>
        <v>Pompa infuzyjna strzykawkowa</v>
      </c>
      <c r="C71" s="6" t="str">
        <f t="shared" si="11"/>
        <v>S2</v>
      </c>
      <c r="D71" s="6" t="str">
        <f>"0110175/11 "</f>
        <v xml:space="preserve">0110175/11 </v>
      </c>
      <c r="E71" s="6" t="str">
        <f>"802/1280"</f>
        <v>802/1280</v>
      </c>
      <c r="F71" s="6" t="str">
        <f t="shared" si="12"/>
        <v>Szpitalny Oddział Ratunkowy</v>
      </c>
      <c r="G71" s="6" t="str">
        <f t="shared" si="13"/>
        <v>Medima Sp. z o.o.</v>
      </c>
      <c r="H71" s="6">
        <v>2011</v>
      </c>
      <c r="I71" s="6"/>
      <c r="J71" s="18">
        <v>2</v>
      </c>
      <c r="K71" s="19"/>
      <c r="L71" s="19"/>
      <c r="M71" s="19"/>
    </row>
    <row r="72" spans="1:13">
      <c r="A72" s="6">
        <v>68</v>
      </c>
      <c r="B72" s="6" t="str">
        <f t="shared" si="8"/>
        <v>Pompa infuzyjna strzykawkowa</v>
      </c>
      <c r="C72" s="6" t="str">
        <f t="shared" si="11"/>
        <v>S2</v>
      </c>
      <c r="D72" s="6" t="str">
        <f>"0110176/11 "</f>
        <v xml:space="preserve">0110176/11 </v>
      </c>
      <c r="E72" s="6" t="str">
        <f>"802/1279"</f>
        <v>802/1279</v>
      </c>
      <c r="F72" s="6" t="str">
        <f t="shared" si="12"/>
        <v>Szpitalny Oddział Ratunkowy</v>
      </c>
      <c r="G72" s="6" t="str">
        <f t="shared" si="13"/>
        <v>Medima Sp. z o.o.</v>
      </c>
      <c r="H72" s="6">
        <v>2011</v>
      </c>
      <c r="I72" s="6"/>
      <c r="J72" s="18">
        <v>2</v>
      </c>
      <c r="K72" s="19"/>
      <c r="L72" s="19"/>
      <c r="M72" s="19"/>
    </row>
    <row r="73" spans="1:13">
      <c r="A73" s="6">
        <v>69</v>
      </c>
      <c r="B73" s="6" t="str">
        <f t="shared" si="8"/>
        <v>Pompa infuzyjna strzykawkowa</v>
      </c>
      <c r="C73" s="6" t="str">
        <f t="shared" si="11"/>
        <v>S2</v>
      </c>
      <c r="D73" s="6" t="str">
        <f>"0110178/11 "</f>
        <v xml:space="preserve">0110178/11 </v>
      </c>
      <c r="E73" s="6" t="str">
        <f>"802/1278"</f>
        <v>802/1278</v>
      </c>
      <c r="F73" s="6" t="str">
        <f t="shared" si="12"/>
        <v>Szpitalny Oddział Ratunkowy</v>
      </c>
      <c r="G73" s="6" t="str">
        <f t="shared" si="13"/>
        <v>Medima Sp. z o.o.</v>
      </c>
      <c r="H73" s="6">
        <v>2011</v>
      </c>
      <c r="I73" s="6"/>
      <c r="J73" s="18">
        <v>2</v>
      </c>
      <c r="K73" s="19"/>
      <c r="L73" s="19"/>
      <c r="M73" s="19"/>
    </row>
    <row r="74" spans="1:13">
      <c r="A74" s="6">
        <v>70</v>
      </c>
      <c r="B74" s="6" t="str">
        <f t="shared" si="8"/>
        <v>Pompa infuzyjna strzykawkowa</v>
      </c>
      <c r="C74" s="6" t="str">
        <f t="shared" si="11"/>
        <v>S2</v>
      </c>
      <c r="D74" s="6" t="str">
        <f>"0110177/11 "</f>
        <v xml:space="preserve">0110177/11 </v>
      </c>
      <c r="E74" s="6" t="str">
        <f>"802/1277"</f>
        <v>802/1277</v>
      </c>
      <c r="F74" s="6" t="str">
        <f t="shared" si="12"/>
        <v>Szpitalny Oddział Ratunkowy</v>
      </c>
      <c r="G74" s="6" t="str">
        <f t="shared" si="13"/>
        <v>Medima Sp. z o.o.</v>
      </c>
      <c r="H74" s="6">
        <v>2011</v>
      </c>
      <c r="I74" s="6"/>
      <c r="J74" s="18">
        <v>2</v>
      </c>
      <c r="K74" s="19"/>
      <c r="L74" s="19"/>
      <c r="M74" s="19"/>
    </row>
    <row r="75" spans="1:13">
      <c r="A75" s="6">
        <v>71</v>
      </c>
      <c r="B75" s="6" t="str">
        <f t="shared" si="8"/>
        <v>Pompa infuzyjna strzykawkowa</v>
      </c>
      <c r="C75" s="6" t="str">
        <f t="shared" si="11"/>
        <v>S2</v>
      </c>
      <c r="D75" s="6" t="str">
        <f>"0110179/11 "</f>
        <v xml:space="preserve">0110179/11 </v>
      </c>
      <c r="E75" s="6" t="str">
        <f>"802/1276"</f>
        <v>802/1276</v>
      </c>
      <c r="F75" s="6" t="str">
        <f t="shared" si="12"/>
        <v>Szpitalny Oddział Ratunkowy</v>
      </c>
      <c r="G75" s="6" t="str">
        <f t="shared" si="13"/>
        <v>Medima Sp. z o.o.</v>
      </c>
      <c r="H75" s="6">
        <v>2011</v>
      </c>
      <c r="I75" s="6"/>
      <c r="J75" s="18">
        <v>2</v>
      </c>
      <c r="K75" s="19"/>
      <c r="L75" s="19"/>
      <c r="M75" s="19"/>
    </row>
    <row r="76" spans="1:13">
      <c r="A76" s="6">
        <v>72</v>
      </c>
      <c r="B76" s="6" t="str">
        <f t="shared" si="8"/>
        <v>Pompa infuzyjna strzykawkowa</v>
      </c>
      <c r="C76" s="6" t="str">
        <f t="shared" si="11"/>
        <v>S2</v>
      </c>
      <c r="D76" s="6" t="str">
        <f>"0110180/11 "</f>
        <v xml:space="preserve">0110180/11 </v>
      </c>
      <c r="E76" s="6" t="str">
        <f>"802/1275"</f>
        <v>802/1275</v>
      </c>
      <c r="F76" s="6" t="str">
        <f t="shared" si="12"/>
        <v>Szpitalny Oddział Ratunkowy</v>
      </c>
      <c r="G76" s="6" t="str">
        <f t="shared" si="13"/>
        <v>Medima Sp. z o.o.</v>
      </c>
      <c r="H76" s="6">
        <v>2011</v>
      </c>
      <c r="I76" s="6"/>
      <c r="J76" s="18">
        <v>2</v>
      </c>
      <c r="K76" s="19"/>
      <c r="L76" s="19"/>
      <c r="M76" s="19"/>
    </row>
    <row r="77" spans="1:13">
      <c r="A77" s="6">
        <v>73</v>
      </c>
      <c r="B77" s="6" t="str">
        <f>"Pompa infuzyjna objętościowa (perystaltyczna)"</f>
        <v>Pompa infuzyjna objętościowa (perystaltyczna)</v>
      </c>
      <c r="C77" s="6" t="str">
        <f>"P1"</f>
        <v>P1</v>
      </c>
      <c r="D77" s="6" t="str">
        <f>"0201286/12 "</f>
        <v xml:space="preserve">0201286/12 </v>
      </c>
      <c r="E77" s="6" t="str">
        <f>"802/1401"</f>
        <v>802/1401</v>
      </c>
      <c r="F77" s="6" t="str">
        <f>"Oddział Anestezjologii i Intensywnej Terapii"</f>
        <v>Oddział Anestezjologii i Intensywnej Terapii</v>
      </c>
      <c r="G77" s="6" t="str">
        <f t="shared" si="13"/>
        <v>Medima Sp. z o.o.</v>
      </c>
      <c r="H77" s="6">
        <v>2012</v>
      </c>
      <c r="I77" s="6"/>
      <c r="J77" s="18">
        <v>2</v>
      </c>
      <c r="K77" s="19"/>
      <c r="L77" s="19"/>
      <c r="M77" s="19"/>
    </row>
    <row r="78" spans="1:13">
      <c r="A78" s="6">
        <v>74</v>
      </c>
      <c r="B78" s="6" t="str">
        <f>"Pompa infuzyjna objętościowa (perystaltyczna)"</f>
        <v>Pompa infuzyjna objętościowa (perystaltyczna)</v>
      </c>
      <c r="C78" s="6" t="str">
        <f>"P1"</f>
        <v>P1</v>
      </c>
      <c r="D78" s="6" t="str">
        <f>"0201285/12 "</f>
        <v xml:space="preserve">0201285/12 </v>
      </c>
      <c r="E78" s="6" t="str">
        <f>"802/1400"</f>
        <v>802/1400</v>
      </c>
      <c r="F78" s="6" t="str">
        <f>"Oddział Patologii i Intensywnej Terapii Noworodka"</f>
        <v>Oddział Patologii i Intensywnej Terapii Noworodka</v>
      </c>
      <c r="G78" s="6" t="str">
        <f t="shared" si="13"/>
        <v>Medima Sp. z o.o.</v>
      </c>
      <c r="H78" s="6">
        <v>2012</v>
      </c>
      <c r="I78" s="6"/>
      <c r="J78" s="18">
        <v>2</v>
      </c>
      <c r="K78" s="19"/>
      <c r="L78" s="19"/>
      <c r="M78" s="19"/>
    </row>
    <row r="79" spans="1:13">
      <c r="A79" s="6">
        <v>75</v>
      </c>
      <c r="B79" s="6" t="str">
        <f t="shared" ref="B79:B87" si="14">"Pompa infuzyjna strzykawkowa"</f>
        <v>Pompa infuzyjna strzykawkowa</v>
      </c>
      <c r="C79" s="6" t="str">
        <f t="shared" ref="C79:C87" si="15">"S1"</f>
        <v>S1</v>
      </c>
      <c r="D79" s="6" t="str">
        <f>"0114912/12 "</f>
        <v xml:space="preserve">0114912/12 </v>
      </c>
      <c r="E79" s="6" t="str">
        <f>"802/1399"</f>
        <v>802/1399</v>
      </c>
      <c r="F79" s="6" t="str">
        <f>"Blok Operacyjny - Toruńska"</f>
        <v>Blok Operacyjny - Toruńska</v>
      </c>
      <c r="G79" s="6" t="str">
        <f t="shared" si="13"/>
        <v>Medima Sp. z o.o.</v>
      </c>
      <c r="H79" s="6">
        <v>2012</v>
      </c>
      <c r="I79" s="6"/>
      <c r="J79" s="18">
        <v>2</v>
      </c>
      <c r="K79" s="19"/>
      <c r="L79" s="19"/>
      <c r="M79" s="19"/>
    </row>
    <row r="80" spans="1:13">
      <c r="A80" s="6">
        <v>76</v>
      </c>
      <c r="B80" s="6" t="str">
        <f t="shared" si="14"/>
        <v>Pompa infuzyjna strzykawkowa</v>
      </c>
      <c r="C80" s="6" t="str">
        <f t="shared" si="15"/>
        <v>S1</v>
      </c>
      <c r="D80" s="6" t="str">
        <f>"0114907/12 "</f>
        <v xml:space="preserve">0114907/12 </v>
      </c>
      <c r="E80" s="6" t="str">
        <f>"802/1395"</f>
        <v>802/1395</v>
      </c>
      <c r="F80" s="6" t="str">
        <f>"Oddział Anestezjologii i Intensywnej Terapii"</f>
        <v>Oddział Anestezjologii i Intensywnej Terapii</v>
      </c>
      <c r="G80" s="6" t="str">
        <f t="shared" si="13"/>
        <v>Medima Sp. z o.o.</v>
      </c>
      <c r="H80" s="6">
        <v>2012</v>
      </c>
      <c r="I80" s="6"/>
      <c r="J80" s="18">
        <v>2</v>
      </c>
      <c r="K80" s="19"/>
      <c r="L80" s="19"/>
      <c r="M80" s="19"/>
    </row>
    <row r="81" spans="1:13">
      <c r="A81" s="6">
        <v>77</v>
      </c>
      <c r="B81" s="6" t="str">
        <f t="shared" si="14"/>
        <v>Pompa infuzyjna strzykawkowa</v>
      </c>
      <c r="C81" s="6" t="str">
        <f t="shared" si="15"/>
        <v>S1</v>
      </c>
      <c r="D81" s="6" t="str">
        <f>"0114908/12 "</f>
        <v xml:space="preserve">0114908/12 </v>
      </c>
      <c r="E81" s="6" t="str">
        <f>"802/1396"</f>
        <v>802/1396</v>
      </c>
      <c r="F81" s="6" t="str">
        <f>"Oddział Anestezjologii i Intensywnej Terapii"</f>
        <v>Oddział Anestezjologii i Intensywnej Terapii</v>
      </c>
      <c r="G81" s="6" t="str">
        <f t="shared" si="13"/>
        <v>Medima Sp. z o.o.</v>
      </c>
      <c r="H81" s="6">
        <v>2012</v>
      </c>
      <c r="I81" s="6"/>
      <c r="J81" s="18">
        <v>2</v>
      </c>
      <c r="K81" s="19"/>
      <c r="L81" s="19"/>
      <c r="M81" s="19"/>
    </row>
    <row r="82" spans="1:13">
      <c r="A82" s="6">
        <v>78</v>
      </c>
      <c r="B82" s="6" t="str">
        <f t="shared" si="14"/>
        <v>Pompa infuzyjna strzykawkowa</v>
      </c>
      <c r="C82" s="6" t="str">
        <f t="shared" si="15"/>
        <v>S1</v>
      </c>
      <c r="D82" s="6" t="str">
        <f>"0114909/12 "</f>
        <v xml:space="preserve">0114909/12 </v>
      </c>
      <c r="E82" s="6" t="str">
        <f>"802/1397"</f>
        <v>802/1397</v>
      </c>
      <c r="F82" s="6" t="str">
        <f>"Oddział Anestezjologii i Intensywnej Terapii"</f>
        <v>Oddział Anestezjologii i Intensywnej Terapii</v>
      </c>
      <c r="G82" s="6" t="str">
        <f t="shared" si="13"/>
        <v>Medima Sp. z o.o.</v>
      </c>
      <c r="H82" s="6">
        <v>2012</v>
      </c>
      <c r="I82" s="6"/>
      <c r="J82" s="18">
        <v>2</v>
      </c>
      <c r="K82" s="19"/>
      <c r="L82" s="19"/>
      <c r="M82" s="19"/>
    </row>
    <row r="83" spans="1:13">
      <c r="A83" s="6">
        <v>79</v>
      </c>
      <c r="B83" s="6" t="str">
        <f t="shared" si="14"/>
        <v>Pompa infuzyjna strzykawkowa</v>
      </c>
      <c r="C83" s="6" t="str">
        <f t="shared" si="15"/>
        <v>S1</v>
      </c>
      <c r="D83" s="6" t="str">
        <f>"0114911/12 "</f>
        <v xml:space="preserve">0114911/12 </v>
      </c>
      <c r="E83" s="6" t="str">
        <f>"802/1398"</f>
        <v>802/1398</v>
      </c>
      <c r="F83" s="6" t="str">
        <f>"Oddział Anestezjologii i Intensywnej Terapii"</f>
        <v>Oddział Anestezjologii i Intensywnej Terapii</v>
      </c>
      <c r="G83" s="6" t="str">
        <f t="shared" si="13"/>
        <v>Medima Sp. z o.o.</v>
      </c>
      <c r="H83" s="6">
        <v>2012</v>
      </c>
      <c r="I83" s="6"/>
      <c r="J83" s="18">
        <v>2</v>
      </c>
      <c r="K83" s="19"/>
      <c r="L83" s="19"/>
      <c r="M83" s="19"/>
    </row>
    <row r="84" spans="1:13">
      <c r="A84" s="6">
        <v>80</v>
      </c>
      <c r="B84" s="6" t="str">
        <f t="shared" si="14"/>
        <v>Pompa infuzyjna strzykawkowa</v>
      </c>
      <c r="C84" s="6" t="str">
        <f t="shared" si="15"/>
        <v>S1</v>
      </c>
      <c r="D84" s="6" t="str">
        <f>"0114910/12 "</f>
        <v xml:space="preserve">0114910/12 </v>
      </c>
      <c r="E84" s="6" t="str">
        <f>"802/1393"</f>
        <v>802/1393</v>
      </c>
      <c r="F84" s="6" t="str">
        <f>"Oddział Chorób Wewnętrznych I"</f>
        <v>Oddział Chorób Wewnętrznych I</v>
      </c>
      <c r="G84" s="6" t="str">
        <f t="shared" si="13"/>
        <v>Medima Sp. z o.o.</v>
      </c>
      <c r="H84" s="6">
        <v>2012</v>
      </c>
      <c r="I84" s="6"/>
      <c r="J84" s="18">
        <v>2</v>
      </c>
      <c r="K84" s="19"/>
      <c r="L84" s="19"/>
      <c r="M84" s="19"/>
    </row>
    <row r="85" spans="1:13">
      <c r="A85" s="6">
        <v>81</v>
      </c>
      <c r="B85" s="6" t="str">
        <f t="shared" si="14"/>
        <v>Pompa infuzyjna strzykawkowa</v>
      </c>
      <c r="C85" s="6" t="str">
        <f t="shared" si="15"/>
        <v>S1</v>
      </c>
      <c r="D85" s="6" t="str">
        <f>"0114913/12 "</f>
        <v xml:space="preserve">0114913/12 </v>
      </c>
      <c r="E85" s="6" t="str">
        <f>"802/1394"</f>
        <v>802/1394</v>
      </c>
      <c r="F85" s="6" t="str">
        <f>"Oddział Gastroenterologii Dziecięcej"</f>
        <v>Oddział Gastroenterologii Dziecięcej</v>
      </c>
      <c r="G85" s="6" t="str">
        <f t="shared" si="13"/>
        <v>Medima Sp. z o.o.</v>
      </c>
      <c r="H85" s="6">
        <v>2012</v>
      </c>
      <c r="I85" s="6"/>
      <c r="J85" s="18">
        <v>2</v>
      </c>
      <c r="K85" s="19"/>
      <c r="L85" s="19"/>
      <c r="M85" s="19"/>
    </row>
    <row r="86" spans="1:13">
      <c r="A86" s="6">
        <v>82</v>
      </c>
      <c r="B86" s="6" t="str">
        <f t="shared" si="14"/>
        <v>Pompa infuzyjna strzykawkowa</v>
      </c>
      <c r="C86" s="6" t="str">
        <f t="shared" si="15"/>
        <v>S1</v>
      </c>
      <c r="D86" s="6" t="str">
        <f>"0115907/13 "</f>
        <v xml:space="preserve">0115907/13 </v>
      </c>
      <c r="E86" s="6" t="str">
        <f>"802/1418"</f>
        <v>802/1418</v>
      </c>
      <c r="F86" s="6" t="str">
        <f>"Oddział Urazowo - Ortopedyczny"</f>
        <v>Oddział Urazowo - Ortopedyczny</v>
      </c>
      <c r="G86" s="6" t="str">
        <f t="shared" si="13"/>
        <v>Medima Sp. z o.o.</v>
      </c>
      <c r="H86" s="6">
        <v>2013</v>
      </c>
      <c r="I86" s="6"/>
      <c r="J86" s="18">
        <v>2</v>
      </c>
      <c r="K86" s="19"/>
      <c r="L86" s="19"/>
      <c r="M86" s="19"/>
    </row>
    <row r="87" spans="1:13">
      <c r="A87" s="6">
        <v>83</v>
      </c>
      <c r="B87" s="6" t="str">
        <f t="shared" si="14"/>
        <v>Pompa infuzyjna strzykawkowa</v>
      </c>
      <c r="C87" s="6" t="str">
        <f t="shared" si="15"/>
        <v>S1</v>
      </c>
      <c r="D87" s="6" t="str">
        <f>"0115906/13 "</f>
        <v xml:space="preserve">0115906/13 </v>
      </c>
      <c r="E87" s="6" t="str">
        <f>"802/1417"</f>
        <v>802/1417</v>
      </c>
      <c r="F87" s="6" t="str">
        <f>"Oddział Urazowo - Ortopedyczny"</f>
        <v>Oddział Urazowo - Ortopedyczny</v>
      </c>
      <c r="G87" s="6" t="str">
        <f t="shared" si="13"/>
        <v>Medima Sp. z o.o.</v>
      </c>
      <c r="H87" s="6">
        <v>2013</v>
      </c>
      <c r="I87" s="6"/>
      <c r="J87" s="18">
        <v>2</v>
      </c>
      <c r="K87" s="19"/>
      <c r="L87" s="19"/>
      <c r="M87" s="19"/>
    </row>
    <row r="88" spans="1:13">
      <c r="A88" s="6">
        <v>84</v>
      </c>
      <c r="B88" s="6" t="str">
        <f>"Pompa infuzyjna objętościowa (perystaltyczna)"</f>
        <v>Pompa infuzyjna objętościowa (perystaltyczna)</v>
      </c>
      <c r="C88" s="6" t="str">
        <f>"P2"</f>
        <v>P2</v>
      </c>
      <c r="D88" s="6" t="str">
        <f>"0201557/13 "</f>
        <v xml:space="preserve">0201557/13 </v>
      </c>
      <c r="E88" s="6" t="str">
        <f>"802/1445"</f>
        <v>802/1445</v>
      </c>
      <c r="F88" s="6" t="str">
        <f>"Oddział Patologii i Intensywnej Terapii Noworodka"</f>
        <v>Oddział Patologii i Intensywnej Terapii Noworodka</v>
      </c>
      <c r="G88" s="6" t="str">
        <f t="shared" si="13"/>
        <v>Medima Sp. z o.o.</v>
      </c>
      <c r="H88" s="6">
        <v>2013</v>
      </c>
      <c r="I88" s="6"/>
      <c r="J88" s="18">
        <v>2</v>
      </c>
      <c r="K88" s="19"/>
      <c r="L88" s="19"/>
      <c r="M88" s="19"/>
    </row>
    <row r="89" spans="1:13">
      <c r="A89" s="6">
        <v>85</v>
      </c>
      <c r="B89" s="6" t="str">
        <f>"Pompa infuzyjna objętościowa (perystaltyczna)"</f>
        <v>Pompa infuzyjna objętościowa (perystaltyczna)</v>
      </c>
      <c r="C89" s="6" t="str">
        <f>"P2"</f>
        <v>P2</v>
      </c>
      <c r="D89" s="6" t="str">
        <f>"0201558/13 "</f>
        <v xml:space="preserve">0201558/13 </v>
      </c>
      <c r="E89" s="6" t="str">
        <f>"802/1446"</f>
        <v>802/1446</v>
      </c>
      <c r="F89" s="6" t="str">
        <f>"Oddział Patologii i Intensywnej Terapii Noworodka"</f>
        <v>Oddział Patologii i Intensywnej Terapii Noworodka</v>
      </c>
      <c r="G89" s="6" t="str">
        <f t="shared" si="13"/>
        <v>Medima Sp. z o.o.</v>
      </c>
      <c r="H89" s="6">
        <v>2013</v>
      </c>
      <c r="I89" s="6"/>
      <c r="J89" s="18">
        <v>2</v>
      </c>
      <c r="K89" s="19"/>
      <c r="L89" s="19"/>
      <c r="M89" s="19"/>
    </row>
    <row r="90" spans="1:13">
      <c r="A90" s="6">
        <v>86</v>
      </c>
      <c r="B90" s="6" t="str">
        <f>"Pompa infuzyjna objętościowa (perystaltyczna)"</f>
        <v>Pompa infuzyjna objętościowa (perystaltyczna)</v>
      </c>
      <c r="C90" s="6" t="str">
        <f>"P2"</f>
        <v>P2</v>
      </c>
      <c r="D90" s="6" t="str">
        <f>"0201559/13 "</f>
        <v xml:space="preserve">0201559/13 </v>
      </c>
      <c r="E90" s="6" t="str">
        <f>"802/1447"</f>
        <v>802/1447</v>
      </c>
      <c r="F90" s="6" t="str">
        <f>"Oddział Patologii i Intensywnej Terapii Noworodka"</f>
        <v>Oddział Patologii i Intensywnej Terapii Noworodka</v>
      </c>
      <c r="G90" s="6" t="str">
        <f t="shared" si="13"/>
        <v>Medima Sp. z o.o.</v>
      </c>
      <c r="H90" s="6">
        <v>2013</v>
      </c>
      <c r="I90" s="6"/>
      <c r="J90" s="18">
        <v>2</v>
      </c>
      <c r="K90" s="19"/>
      <c r="L90" s="19"/>
      <c r="M90" s="19"/>
    </row>
    <row r="91" spans="1:13">
      <c r="A91" s="6">
        <v>87</v>
      </c>
      <c r="B91" s="6" t="str">
        <f>"Pompa infuzyjna strzykawkowa"</f>
        <v>Pompa infuzyjna strzykawkowa</v>
      </c>
      <c r="C91" s="6" t="str">
        <f>"S2"</f>
        <v>S2</v>
      </c>
      <c r="D91" s="6" t="str">
        <f>"0116376/13 "</f>
        <v xml:space="preserve">0116376/13 </v>
      </c>
      <c r="E91" s="6" t="str">
        <f>"802/1449"</f>
        <v>802/1449</v>
      </c>
      <c r="F91" s="6" t="str">
        <f>"Oddział Chorób Dziecięcych"</f>
        <v>Oddział Chorób Dziecięcych</v>
      </c>
      <c r="G91" s="6" t="str">
        <f t="shared" si="13"/>
        <v>Medima Sp. z o.o.</v>
      </c>
      <c r="H91" s="6">
        <v>2013</v>
      </c>
      <c r="I91" s="6"/>
      <c r="J91" s="18">
        <v>2</v>
      </c>
      <c r="K91" s="19"/>
      <c r="L91" s="19"/>
      <c r="M91" s="19"/>
    </row>
    <row r="92" spans="1:13">
      <c r="A92" s="6">
        <v>88</v>
      </c>
      <c r="B92" s="6" t="str">
        <f>"Pompa infuzyjna strzykawkowa"</f>
        <v>Pompa infuzyjna strzykawkowa</v>
      </c>
      <c r="C92" s="6" t="str">
        <f>"S2"</f>
        <v>S2</v>
      </c>
      <c r="D92" s="6" t="str">
        <f>"0116378/13 "</f>
        <v xml:space="preserve">0116378/13 </v>
      </c>
      <c r="E92" s="6" t="str">
        <f>"802/1448"</f>
        <v>802/1448</v>
      </c>
      <c r="F92" s="6" t="str">
        <f>"Oddział Chorób Dziecięcych"</f>
        <v>Oddział Chorób Dziecięcych</v>
      </c>
      <c r="G92" s="6" t="str">
        <f t="shared" si="13"/>
        <v>Medima Sp. z o.o.</v>
      </c>
      <c r="H92" s="6">
        <v>2013</v>
      </c>
      <c r="I92" s="6"/>
      <c r="J92" s="18">
        <v>2</v>
      </c>
      <c r="K92" s="19"/>
      <c r="L92" s="19"/>
      <c r="M92" s="19"/>
    </row>
    <row r="93" spans="1:13">
      <c r="A93" s="6">
        <v>89</v>
      </c>
      <c r="B93" s="6" t="str">
        <f>"Pompa infuzyjna strzykawkowa"</f>
        <v>Pompa infuzyjna strzykawkowa</v>
      </c>
      <c r="C93" s="6" t="str">
        <f>"S2"</f>
        <v>S2</v>
      </c>
      <c r="D93" s="6" t="str">
        <f>"0116377/13 "</f>
        <v xml:space="preserve">0116377/13 </v>
      </c>
      <c r="E93" s="6" t="str">
        <f>"802/1451"</f>
        <v>802/1451</v>
      </c>
      <c r="F93" s="6" t="str">
        <f>"Oddział Gastroenterologii Dziecięcej"</f>
        <v>Oddział Gastroenterologii Dziecięcej</v>
      </c>
      <c r="G93" s="6" t="str">
        <f t="shared" si="13"/>
        <v>Medima Sp. z o.o.</v>
      </c>
      <c r="H93" s="6">
        <v>2013</v>
      </c>
      <c r="I93" s="6"/>
      <c r="J93" s="18">
        <v>2</v>
      </c>
      <c r="K93" s="19"/>
      <c r="L93" s="19"/>
      <c r="M93" s="19"/>
    </row>
    <row r="94" spans="1:13">
      <c r="A94" s="6">
        <v>90</v>
      </c>
      <c r="B94" s="6" t="str">
        <f>"Pompa infuzyjna strzykawkowa"</f>
        <v>Pompa infuzyjna strzykawkowa</v>
      </c>
      <c r="C94" s="6" t="str">
        <f>"S2"</f>
        <v>S2</v>
      </c>
      <c r="D94" s="6" t="str">
        <f>"0116379/13 "</f>
        <v xml:space="preserve">0116379/13 </v>
      </c>
      <c r="E94" s="6" t="str">
        <f>"802/1450"</f>
        <v>802/1450</v>
      </c>
      <c r="F94" s="6" t="str">
        <f>"Oddział Gastroenterologii Dziecięcej"</f>
        <v>Oddział Gastroenterologii Dziecięcej</v>
      </c>
      <c r="G94" s="6" t="str">
        <f t="shared" si="13"/>
        <v>Medima Sp. z o.o.</v>
      </c>
      <c r="H94" s="6">
        <v>2013</v>
      </c>
      <c r="I94" s="6"/>
      <c r="J94" s="18">
        <v>2</v>
      </c>
      <c r="K94" s="19"/>
      <c r="L94" s="19"/>
      <c r="M94" s="19"/>
    </row>
    <row r="95" spans="1:13">
      <c r="A95" s="6">
        <v>91</v>
      </c>
      <c r="B95" s="6" t="str">
        <f t="shared" ref="B95:B110" si="16">"Pompa infuzyjna objętościowa (perystaltyczna)"</f>
        <v>Pompa infuzyjna objętościowa (perystaltyczna)</v>
      </c>
      <c r="C95" s="6" t="str">
        <f t="shared" ref="C95:C110" si="17">"P2"</f>
        <v>P2</v>
      </c>
      <c r="D95" s="6" t="str">
        <f>"0202217/15 "</f>
        <v xml:space="preserve">0202217/15 </v>
      </c>
      <c r="E95" s="6" t="str">
        <f>"1/802/273"</f>
        <v>1/802/273</v>
      </c>
      <c r="F95" s="6" t="str">
        <f>"Oddział Anestezjologii i Intensywnej Terapii"</f>
        <v>Oddział Anestezjologii i Intensywnej Terapii</v>
      </c>
      <c r="G95" s="6" t="str">
        <f t="shared" si="13"/>
        <v>Medima Sp. z o.o.</v>
      </c>
      <c r="H95" s="6">
        <v>2015</v>
      </c>
      <c r="I95" s="6"/>
      <c r="J95" s="18">
        <v>2</v>
      </c>
      <c r="K95" s="19"/>
      <c r="L95" s="19"/>
      <c r="M95" s="19"/>
    </row>
    <row r="96" spans="1:13">
      <c r="A96" s="6">
        <v>92</v>
      </c>
      <c r="B96" s="6" t="str">
        <f t="shared" si="16"/>
        <v>Pompa infuzyjna objętościowa (perystaltyczna)</v>
      </c>
      <c r="C96" s="6" t="str">
        <f t="shared" si="17"/>
        <v>P2</v>
      </c>
      <c r="D96" s="6" t="str">
        <f>"0202218/15 "</f>
        <v xml:space="preserve">0202218/15 </v>
      </c>
      <c r="E96" s="6" t="str">
        <f>"1/802/274"</f>
        <v>1/802/274</v>
      </c>
      <c r="F96" s="6" t="str">
        <f>"Oddział Anestezjologii i Intensywnej Terapii"</f>
        <v>Oddział Anestezjologii i Intensywnej Terapii</v>
      </c>
      <c r="G96" s="6" t="str">
        <f t="shared" si="13"/>
        <v>Medima Sp. z o.o.</v>
      </c>
      <c r="H96" s="6">
        <v>2015</v>
      </c>
      <c r="I96" s="6"/>
      <c r="J96" s="18">
        <v>2</v>
      </c>
      <c r="K96" s="19"/>
      <c r="L96" s="19"/>
      <c r="M96" s="19"/>
    </row>
    <row r="97" spans="1:13">
      <c r="A97" s="6">
        <v>93</v>
      </c>
      <c r="B97" s="6" t="str">
        <f t="shared" si="16"/>
        <v>Pompa infuzyjna objętościowa (perystaltyczna)</v>
      </c>
      <c r="C97" s="6" t="str">
        <f t="shared" si="17"/>
        <v>P2</v>
      </c>
      <c r="D97" s="6" t="str">
        <f>"0202234/15 "</f>
        <v xml:space="preserve">0202234/15 </v>
      </c>
      <c r="E97" s="6" t="str">
        <f>"1/802/275"</f>
        <v>1/802/275</v>
      </c>
      <c r="F97" s="6" t="str">
        <f>"Oddział Anestezjologii i Intensywnej Terapii"</f>
        <v>Oddział Anestezjologii i Intensywnej Terapii</v>
      </c>
      <c r="G97" s="6" t="str">
        <f t="shared" si="13"/>
        <v>Medima Sp. z o.o.</v>
      </c>
      <c r="H97" s="6">
        <v>2015</v>
      </c>
      <c r="I97" s="6"/>
      <c r="J97" s="18">
        <v>2</v>
      </c>
      <c r="K97" s="19"/>
      <c r="L97" s="19"/>
      <c r="M97" s="19"/>
    </row>
    <row r="98" spans="1:13">
      <c r="A98" s="6">
        <v>94</v>
      </c>
      <c r="B98" s="6" t="str">
        <f t="shared" si="16"/>
        <v>Pompa infuzyjna objętościowa (perystaltyczna)</v>
      </c>
      <c r="C98" s="6" t="str">
        <f t="shared" si="17"/>
        <v>P2</v>
      </c>
      <c r="D98" s="6" t="str">
        <f>"0202235/15 "</f>
        <v xml:space="preserve">0202235/15 </v>
      </c>
      <c r="E98" s="6" t="str">
        <f>"1/802/276"</f>
        <v>1/802/276</v>
      </c>
      <c r="F98" s="6" t="str">
        <f>"Oddział Anestezjologii i Intensywnej Terapii"</f>
        <v>Oddział Anestezjologii i Intensywnej Terapii</v>
      </c>
      <c r="G98" s="6" t="str">
        <f t="shared" si="13"/>
        <v>Medima Sp. z o.o.</v>
      </c>
      <c r="H98" s="6">
        <v>2015</v>
      </c>
      <c r="I98" s="6"/>
      <c r="J98" s="18">
        <v>2</v>
      </c>
      <c r="K98" s="19"/>
      <c r="L98" s="19"/>
      <c r="M98" s="19"/>
    </row>
    <row r="99" spans="1:13">
      <c r="A99" s="6">
        <v>95</v>
      </c>
      <c r="B99" s="6" t="str">
        <f t="shared" si="16"/>
        <v>Pompa infuzyjna objętościowa (perystaltyczna)</v>
      </c>
      <c r="C99" s="6" t="str">
        <f t="shared" si="17"/>
        <v>P2</v>
      </c>
      <c r="D99" s="6" t="str">
        <f>"0202225/15 "</f>
        <v xml:space="preserve">0202225/15 </v>
      </c>
      <c r="E99" s="6" t="str">
        <f>"1/802/313"</f>
        <v>1/802/313</v>
      </c>
      <c r="F99" s="6" t="str">
        <f t="shared" ref="F99:F110" si="18">"Oddział Onkologii Klinicznej"</f>
        <v>Oddział Onkologii Klinicznej</v>
      </c>
      <c r="G99" s="6" t="str">
        <f t="shared" si="13"/>
        <v>Medima Sp. z o.o.</v>
      </c>
      <c r="H99" s="6">
        <v>2015</v>
      </c>
      <c r="I99" s="6"/>
      <c r="J99" s="18">
        <v>2</v>
      </c>
      <c r="K99" s="19"/>
      <c r="L99" s="19"/>
      <c r="M99" s="19"/>
    </row>
    <row r="100" spans="1:13">
      <c r="A100" s="6">
        <v>96</v>
      </c>
      <c r="B100" s="6" t="str">
        <f t="shared" si="16"/>
        <v>Pompa infuzyjna objętościowa (perystaltyczna)</v>
      </c>
      <c r="C100" s="6" t="str">
        <f t="shared" si="17"/>
        <v>P2</v>
      </c>
      <c r="D100" s="6" t="str">
        <f>"0202226/15 "</f>
        <v xml:space="preserve">0202226/15 </v>
      </c>
      <c r="E100" s="6" t="str">
        <f>"1/802/314"</f>
        <v>1/802/314</v>
      </c>
      <c r="F100" s="6" t="str">
        <f t="shared" si="18"/>
        <v>Oddział Onkologii Klinicznej</v>
      </c>
      <c r="G100" s="6" t="str">
        <f t="shared" si="13"/>
        <v>Medima Sp. z o.o.</v>
      </c>
      <c r="H100" s="6">
        <v>2015</v>
      </c>
      <c r="I100" s="6"/>
      <c r="J100" s="18">
        <v>2</v>
      </c>
      <c r="K100" s="19"/>
      <c r="L100" s="19"/>
      <c r="M100" s="19"/>
    </row>
    <row r="101" spans="1:13">
      <c r="A101" s="6">
        <v>97</v>
      </c>
      <c r="B101" s="6" t="str">
        <f t="shared" si="16"/>
        <v>Pompa infuzyjna objętościowa (perystaltyczna)</v>
      </c>
      <c r="C101" s="6" t="str">
        <f t="shared" si="17"/>
        <v>P2</v>
      </c>
      <c r="D101" s="6" t="str">
        <f>"0202222/15 "</f>
        <v xml:space="preserve">0202222/15 </v>
      </c>
      <c r="E101" s="6" t="str">
        <f>"1/802/310"</f>
        <v>1/802/310</v>
      </c>
      <c r="F101" s="6" t="str">
        <f t="shared" si="18"/>
        <v>Oddział Onkologii Klinicznej</v>
      </c>
      <c r="G101" s="6" t="str">
        <f t="shared" si="13"/>
        <v>Medima Sp. z o.o.</v>
      </c>
      <c r="H101" s="6">
        <v>2015</v>
      </c>
      <c r="I101" s="6"/>
      <c r="J101" s="18">
        <v>2</v>
      </c>
      <c r="K101" s="19"/>
      <c r="L101" s="19"/>
      <c r="M101" s="19"/>
    </row>
    <row r="102" spans="1:13">
      <c r="A102" s="6">
        <v>98</v>
      </c>
      <c r="B102" s="6" t="str">
        <f t="shared" si="16"/>
        <v>Pompa infuzyjna objętościowa (perystaltyczna)</v>
      </c>
      <c r="C102" s="6" t="str">
        <f t="shared" si="17"/>
        <v>P2</v>
      </c>
      <c r="D102" s="6" t="str">
        <f>"0202223/15 "</f>
        <v xml:space="preserve">0202223/15 </v>
      </c>
      <c r="E102" s="6" t="str">
        <f>"1/802/311"</f>
        <v>1/802/311</v>
      </c>
      <c r="F102" s="6" t="str">
        <f t="shared" si="18"/>
        <v>Oddział Onkologii Klinicznej</v>
      </c>
      <c r="G102" s="6" t="str">
        <f t="shared" si="13"/>
        <v>Medima Sp. z o.o.</v>
      </c>
      <c r="H102" s="6">
        <v>2015</v>
      </c>
      <c r="I102" s="6"/>
      <c r="J102" s="18">
        <v>2</v>
      </c>
      <c r="K102" s="19"/>
      <c r="L102" s="19"/>
      <c r="M102" s="19"/>
    </row>
    <row r="103" spans="1:13">
      <c r="A103" s="6">
        <v>99</v>
      </c>
      <c r="B103" s="6" t="str">
        <f t="shared" si="16"/>
        <v>Pompa infuzyjna objętościowa (perystaltyczna)</v>
      </c>
      <c r="C103" s="6" t="str">
        <f t="shared" si="17"/>
        <v>P2</v>
      </c>
      <c r="D103" s="6" t="str">
        <f>"0202224/15 "</f>
        <v xml:space="preserve">0202224/15 </v>
      </c>
      <c r="E103" s="6" t="str">
        <f>"1/802/312"</f>
        <v>1/802/312</v>
      </c>
      <c r="F103" s="6" t="str">
        <f t="shared" si="18"/>
        <v>Oddział Onkologii Klinicznej</v>
      </c>
      <c r="G103" s="6" t="str">
        <f t="shared" si="13"/>
        <v>Medima Sp. z o.o.</v>
      </c>
      <c r="H103" s="6">
        <v>2015</v>
      </c>
      <c r="I103" s="6"/>
      <c r="J103" s="18">
        <v>2</v>
      </c>
      <c r="K103" s="19"/>
      <c r="L103" s="19"/>
      <c r="M103" s="19"/>
    </row>
    <row r="104" spans="1:13">
      <c r="A104" s="6">
        <v>100</v>
      </c>
      <c r="B104" s="6" t="str">
        <f t="shared" si="16"/>
        <v>Pompa infuzyjna objętościowa (perystaltyczna)</v>
      </c>
      <c r="C104" s="6" t="str">
        <f t="shared" si="17"/>
        <v>P2</v>
      </c>
      <c r="D104" s="6" t="str">
        <f>"0202227/15 "</f>
        <v xml:space="preserve">0202227/15 </v>
      </c>
      <c r="E104" s="6" t="str">
        <f>"1/802/315"</f>
        <v>1/802/315</v>
      </c>
      <c r="F104" s="6" t="str">
        <f t="shared" si="18"/>
        <v>Oddział Onkologii Klinicznej</v>
      </c>
      <c r="G104" s="6" t="str">
        <f t="shared" si="13"/>
        <v>Medima Sp. z o.o.</v>
      </c>
      <c r="H104" s="6">
        <v>2015</v>
      </c>
      <c r="I104" s="6"/>
      <c r="J104" s="18">
        <v>2</v>
      </c>
      <c r="K104" s="19"/>
      <c r="L104" s="19"/>
      <c r="M104" s="19"/>
    </row>
    <row r="105" spans="1:13">
      <c r="A105" s="6">
        <v>101</v>
      </c>
      <c r="B105" s="6" t="str">
        <f t="shared" si="16"/>
        <v>Pompa infuzyjna objętościowa (perystaltyczna)</v>
      </c>
      <c r="C105" s="6" t="str">
        <f t="shared" si="17"/>
        <v>P2</v>
      </c>
      <c r="D105" s="6" t="str">
        <f>"0202228/15 "</f>
        <v xml:space="preserve">0202228/15 </v>
      </c>
      <c r="E105" s="6" t="str">
        <f>"1/802/316"</f>
        <v>1/802/316</v>
      </c>
      <c r="F105" s="6" t="str">
        <f t="shared" si="18"/>
        <v>Oddział Onkologii Klinicznej</v>
      </c>
      <c r="G105" s="6" t="str">
        <f t="shared" si="13"/>
        <v>Medima Sp. z o.o.</v>
      </c>
      <c r="H105" s="6">
        <v>2015</v>
      </c>
      <c r="I105" s="6"/>
      <c r="J105" s="18">
        <v>2</v>
      </c>
      <c r="K105" s="19"/>
      <c r="L105" s="19"/>
      <c r="M105" s="19"/>
    </row>
    <row r="106" spans="1:13">
      <c r="A106" s="6">
        <v>102</v>
      </c>
      <c r="B106" s="6" t="str">
        <f t="shared" si="16"/>
        <v>Pompa infuzyjna objętościowa (perystaltyczna)</v>
      </c>
      <c r="C106" s="6" t="str">
        <f t="shared" si="17"/>
        <v>P2</v>
      </c>
      <c r="D106" s="6" t="str">
        <f>"0202229/15 "</f>
        <v xml:space="preserve">0202229/15 </v>
      </c>
      <c r="E106" s="6" t="str">
        <f>"1/802/317"</f>
        <v>1/802/317</v>
      </c>
      <c r="F106" s="6" t="str">
        <f t="shared" si="18"/>
        <v>Oddział Onkologii Klinicznej</v>
      </c>
      <c r="G106" s="6" t="str">
        <f t="shared" si="13"/>
        <v>Medima Sp. z o.o.</v>
      </c>
      <c r="H106" s="6">
        <v>2015</v>
      </c>
      <c r="I106" s="6"/>
      <c r="J106" s="18">
        <v>2</v>
      </c>
      <c r="K106" s="19"/>
      <c r="L106" s="19"/>
      <c r="M106" s="19"/>
    </row>
    <row r="107" spans="1:13">
      <c r="A107" s="6">
        <v>103</v>
      </c>
      <c r="B107" s="6" t="str">
        <f t="shared" si="16"/>
        <v>Pompa infuzyjna objętościowa (perystaltyczna)</v>
      </c>
      <c r="C107" s="6" t="str">
        <f t="shared" si="17"/>
        <v>P2</v>
      </c>
      <c r="D107" s="6" t="str">
        <f>"0202230/15 "</f>
        <v xml:space="preserve">0202230/15 </v>
      </c>
      <c r="E107" s="6" t="str">
        <f>"1/802/318"</f>
        <v>1/802/318</v>
      </c>
      <c r="F107" s="6" t="str">
        <f t="shared" si="18"/>
        <v>Oddział Onkologii Klinicznej</v>
      </c>
      <c r="G107" s="6" t="str">
        <f t="shared" si="13"/>
        <v>Medima Sp. z o.o.</v>
      </c>
      <c r="H107" s="6">
        <v>2015</v>
      </c>
      <c r="I107" s="6"/>
      <c r="J107" s="18">
        <v>2</v>
      </c>
      <c r="K107" s="19"/>
      <c r="L107" s="19"/>
      <c r="M107" s="19"/>
    </row>
    <row r="108" spans="1:13">
      <c r="A108" s="6">
        <v>104</v>
      </c>
      <c r="B108" s="6" t="str">
        <f t="shared" si="16"/>
        <v>Pompa infuzyjna objętościowa (perystaltyczna)</v>
      </c>
      <c r="C108" s="6" t="str">
        <f t="shared" si="17"/>
        <v>P2</v>
      </c>
      <c r="D108" s="6" t="str">
        <f>"0202231/15 "</f>
        <v xml:space="preserve">0202231/15 </v>
      </c>
      <c r="E108" s="6" t="str">
        <f>"1/802/319"</f>
        <v>1/802/319</v>
      </c>
      <c r="F108" s="6" t="str">
        <f t="shared" si="18"/>
        <v>Oddział Onkologii Klinicznej</v>
      </c>
      <c r="G108" s="6" t="str">
        <f t="shared" si="13"/>
        <v>Medima Sp. z o.o.</v>
      </c>
      <c r="H108" s="6">
        <v>2015</v>
      </c>
      <c r="I108" s="6"/>
      <c r="J108" s="18">
        <v>2</v>
      </c>
      <c r="K108" s="19"/>
      <c r="L108" s="19"/>
      <c r="M108" s="19"/>
    </row>
    <row r="109" spans="1:13">
      <c r="A109" s="6">
        <v>105</v>
      </c>
      <c r="B109" s="6" t="str">
        <f t="shared" si="16"/>
        <v>Pompa infuzyjna objętościowa (perystaltyczna)</v>
      </c>
      <c r="C109" s="6" t="str">
        <f t="shared" si="17"/>
        <v>P2</v>
      </c>
      <c r="D109" s="6" t="str">
        <f>"0202233/15 "</f>
        <v xml:space="preserve">0202233/15 </v>
      </c>
      <c r="E109" s="6" t="str">
        <f>"1/802/321"</f>
        <v>1/802/321</v>
      </c>
      <c r="F109" s="6" t="str">
        <f t="shared" si="18"/>
        <v>Oddział Onkologii Klinicznej</v>
      </c>
      <c r="G109" s="6" t="str">
        <f t="shared" si="13"/>
        <v>Medima Sp. z o.o.</v>
      </c>
      <c r="H109" s="6">
        <v>2015</v>
      </c>
      <c r="I109" s="6"/>
      <c r="J109" s="18">
        <v>2</v>
      </c>
      <c r="K109" s="19"/>
      <c r="L109" s="19"/>
      <c r="M109" s="19"/>
    </row>
    <row r="110" spans="1:13">
      <c r="A110" s="6">
        <v>106</v>
      </c>
      <c r="B110" s="6" t="str">
        <f t="shared" si="16"/>
        <v>Pompa infuzyjna objętościowa (perystaltyczna)</v>
      </c>
      <c r="C110" s="6" t="str">
        <f t="shared" si="17"/>
        <v>P2</v>
      </c>
      <c r="D110" s="6" t="str">
        <f>"0202232/15 "</f>
        <v xml:space="preserve">0202232/15 </v>
      </c>
      <c r="E110" s="6" t="str">
        <f>"1/802/320"</f>
        <v>1/802/320</v>
      </c>
      <c r="F110" s="6" t="str">
        <f t="shared" si="18"/>
        <v>Oddział Onkologii Klinicznej</v>
      </c>
      <c r="G110" s="6" t="str">
        <f t="shared" si="13"/>
        <v>Medima Sp. z o.o.</v>
      </c>
      <c r="H110" s="6">
        <v>2015</v>
      </c>
      <c r="I110" s="6"/>
      <c r="J110" s="18">
        <v>2</v>
      </c>
      <c r="K110" s="19"/>
      <c r="L110" s="19"/>
      <c r="M110" s="19"/>
    </row>
    <row r="111" spans="1:13">
      <c r="A111" s="6">
        <v>107</v>
      </c>
      <c r="B111" s="6" t="str">
        <f t="shared" ref="B111:B135" si="19">"Pompa infuzyjna strzykawkowa"</f>
        <v>Pompa infuzyjna strzykawkowa</v>
      </c>
      <c r="C111" s="6" t="str">
        <f t="shared" ref="C111:C130" si="20">"S2"</f>
        <v>S2</v>
      </c>
      <c r="D111" s="6" t="str">
        <f>"0122942/15 "</f>
        <v xml:space="preserve">0122942/15 </v>
      </c>
      <c r="E111" s="6" t="str">
        <f>"1/802/295"</f>
        <v>1/802/295</v>
      </c>
      <c r="F111" s="6" t="str">
        <f t="shared" ref="F111:F122" si="21">"Blok Operacyjny"</f>
        <v>Blok Operacyjny</v>
      </c>
      <c r="G111" s="6" t="str">
        <f t="shared" si="13"/>
        <v>Medima Sp. z o.o.</v>
      </c>
      <c r="H111" s="6">
        <v>2015</v>
      </c>
      <c r="I111" s="6"/>
      <c r="J111" s="18">
        <v>2</v>
      </c>
      <c r="K111" s="19"/>
      <c r="L111" s="19"/>
      <c r="M111" s="19"/>
    </row>
    <row r="112" spans="1:13">
      <c r="A112" s="6">
        <v>108</v>
      </c>
      <c r="B112" s="6" t="str">
        <f t="shared" si="19"/>
        <v>Pompa infuzyjna strzykawkowa</v>
      </c>
      <c r="C112" s="6" t="str">
        <f t="shared" si="20"/>
        <v>S2</v>
      </c>
      <c r="D112" s="6" t="str">
        <f>"0122941/15 "</f>
        <v xml:space="preserve">0122941/15 </v>
      </c>
      <c r="E112" s="6" t="str">
        <f>"1/802/294"</f>
        <v>1/802/294</v>
      </c>
      <c r="F112" s="6" t="str">
        <f t="shared" si="21"/>
        <v>Blok Operacyjny</v>
      </c>
      <c r="G112" s="6" t="str">
        <f t="shared" si="13"/>
        <v>Medima Sp. z o.o.</v>
      </c>
      <c r="H112" s="6">
        <v>2015</v>
      </c>
      <c r="I112" s="6"/>
      <c r="J112" s="18">
        <v>2</v>
      </c>
      <c r="K112" s="19"/>
      <c r="L112" s="19"/>
      <c r="M112" s="19"/>
    </row>
    <row r="113" spans="1:13">
      <c r="A113" s="6">
        <v>109</v>
      </c>
      <c r="B113" s="6" t="str">
        <f t="shared" si="19"/>
        <v>Pompa infuzyjna strzykawkowa</v>
      </c>
      <c r="C113" s="6" t="str">
        <f t="shared" si="20"/>
        <v>S2</v>
      </c>
      <c r="D113" s="6" t="str">
        <f>"0122940/15 "</f>
        <v xml:space="preserve">0122940/15 </v>
      </c>
      <c r="E113" s="6" t="str">
        <f>"1/802/293"</f>
        <v>1/802/293</v>
      </c>
      <c r="F113" s="6" t="str">
        <f t="shared" si="21"/>
        <v>Blok Operacyjny</v>
      </c>
      <c r="G113" s="6" t="str">
        <f t="shared" si="13"/>
        <v>Medima Sp. z o.o.</v>
      </c>
      <c r="H113" s="6">
        <v>2015</v>
      </c>
      <c r="I113" s="6"/>
      <c r="J113" s="18">
        <v>2</v>
      </c>
      <c r="K113" s="19"/>
      <c r="L113" s="19"/>
      <c r="M113" s="19"/>
    </row>
    <row r="114" spans="1:13">
      <c r="A114" s="6">
        <v>110</v>
      </c>
      <c r="B114" s="6" t="str">
        <f t="shared" si="19"/>
        <v>Pompa infuzyjna strzykawkowa</v>
      </c>
      <c r="C114" s="6" t="str">
        <f t="shared" si="20"/>
        <v>S2</v>
      </c>
      <c r="D114" s="6" t="str">
        <f>"0122938/15 "</f>
        <v xml:space="preserve">0122938/15 </v>
      </c>
      <c r="E114" s="6" t="str">
        <f>"1/802/291"</f>
        <v>1/802/291</v>
      </c>
      <c r="F114" s="6" t="str">
        <f t="shared" si="21"/>
        <v>Blok Operacyjny</v>
      </c>
      <c r="G114" s="6" t="str">
        <f t="shared" si="13"/>
        <v>Medima Sp. z o.o.</v>
      </c>
      <c r="H114" s="6">
        <v>2015</v>
      </c>
      <c r="I114" s="6"/>
      <c r="J114" s="18">
        <v>2</v>
      </c>
      <c r="K114" s="19"/>
      <c r="L114" s="19"/>
      <c r="M114" s="19"/>
    </row>
    <row r="115" spans="1:13">
      <c r="A115" s="6">
        <v>111</v>
      </c>
      <c r="B115" s="6" t="str">
        <f t="shared" si="19"/>
        <v>Pompa infuzyjna strzykawkowa</v>
      </c>
      <c r="C115" s="6" t="str">
        <f t="shared" si="20"/>
        <v>S2</v>
      </c>
      <c r="D115" s="6" t="str">
        <f>"0122937/15 "</f>
        <v xml:space="preserve">0122937/15 </v>
      </c>
      <c r="E115" s="6" t="str">
        <f>"1/802/290"</f>
        <v>1/802/290</v>
      </c>
      <c r="F115" s="6" t="str">
        <f t="shared" si="21"/>
        <v>Blok Operacyjny</v>
      </c>
      <c r="G115" s="6" t="str">
        <f t="shared" si="13"/>
        <v>Medima Sp. z o.o.</v>
      </c>
      <c r="H115" s="6">
        <v>2015</v>
      </c>
      <c r="I115" s="6"/>
      <c r="J115" s="18">
        <v>2</v>
      </c>
      <c r="K115" s="19"/>
      <c r="L115" s="19"/>
      <c r="M115" s="19"/>
    </row>
    <row r="116" spans="1:13">
      <c r="A116" s="6">
        <v>112</v>
      </c>
      <c r="B116" s="6" t="str">
        <f t="shared" si="19"/>
        <v>Pompa infuzyjna strzykawkowa</v>
      </c>
      <c r="C116" s="6" t="str">
        <f t="shared" si="20"/>
        <v>S2</v>
      </c>
      <c r="D116" s="6" t="str">
        <f>"0122936/15 "</f>
        <v xml:space="preserve">0122936/15 </v>
      </c>
      <c r="E116" s="6" t="str">
        <f>"1/802/289"</f>
        <v>1/802/289</v>
      </c>
      <c r="F116" s="6" t="str">
        <f t="shared" si="21"/>
        <v>Blok Operacyjny</v>
      </c>
      <c r="G116" s="6" t="str">
        <f t="shared" si="13"/>
        <v>Medima Sp. z o.o.</v>
      </c>
      <c r="H116" s="6">
        <v>2015</v>
      </c>
      <c r="I116" s="6"/>
      <c r="J116" s="18">
        <v>2</v>
      </c>
      <c r="K116" s="19"/>
      <c r="L116" s="19"/>
      <c r="M116" s="19"/>
    </row>
    <row r="117" spans="1:13">
      <c r="A117" s="6">
        <v>113</v>
      </c>
      <c r="B117" s="6" t="str">
        <f t="shared" si="19"/>
        <v>Pompa infuzyjna strzykawkowa</v>
      </c>
      <c r="C117" s="6" t="str">
        <f t="shared" si="20"/>
        <v>S2</v>
      </c>
      <c r="D117" s="6" t="str">
        <f>"0122935/15 "</f>
        <v xml:space="preserve">0122935/15 </v>
      </c>
      <c r="E117" s="6" t="str">
        <f>"1/802/288"</f>
        <v>1/802/288</v>
      </c>
      <c r="F117" s="6" t="str">
        <f t="shared" si="21"/>
        <v>Blok Operacyjny</v>
      </c>
      <c r="G117" s="6" t="str">
        <f t="shared" si="13"/>
        <v>Medima Sp. z o.o.</v>
      </c>
      <c r="H117" s="6">
        <v>2015</v>
      </c>
      <c r="I117" s="6"/>
      <c r="J117" s="18">
        <v>2</v>
      </c>
      <c r="K117" s="19"/>
      <c r="L117" s="19"/>
      <c r="M117" s="19"/>
    </row>
    <row r="118" spans="1:13">
      <c r="A118" s="6">
        <v>114</v>
      </c>
      <c r="B118" s="6" t="str">
        <f t="shared" si="19"/>
        <v>Pompa infuzyjna strzykawkowa</v>
      </c>
      <c r="C118" s="6" t="str">
        <f t="shared" si="20"/>
        <v>S2</v>
      </c>
      <c r="D118" s="6" t="str">
        <f>"0122933/15 "</f>
        <v xml:space="preserve">0122933/15 </v>
      </c>
      <c r="E118" s="6" t="str">
        <f>"1/802/286"</f>
        <v>1/802/286</v>
      </c>
      <c r="F118" s="6" t="str">
        <f t="shared" si="21"/>
        <v>Blok Operacyjny</v>
      </c>
      <c r="G118" s="6" t="str">
        <f t="shared" si="13"/>
        <v>Medima Sp. z o.o.</v>
      </c>
      <c r="H118" s="6">
        <v>2015</v>
      </c>
      <c r="I118" s="6"/>
      <c r="J118" s="18">
        <v>2</v>
      </c>
      <c r="K118" s="19"/>
      <c r="L118" s="19"/>
      <c r="M118" s="19"/>
    </row>
    <row r="119" spans="1:13">
      <c r="A119" s="6">
        <v>115</v>
      </c>
      <c r="B119" s="6" t="str">
        <f t="shared" si="19"/>
        <v>Pompa infuzyjna strzykawkowa</v>
      </c>
      <c r="C119" s="6" t="str">
        <f t="shared" si="20"/>
        <v>S2</v>
      </c>
      <c r="D119" s="6" t="str">
        <f>"0122927/15 "</f>
        <v xml:space="preserve">0122927/15 </v>
      </c>
      <c r="E119" s="6" t="str">
        <f>"1/802/280"</f>
        <v>1/802/280</v>
      </c>
      <c r="F119" s="6" t="str">
        <f t="shared" si="21"/>
        <v>Blok Operacyjny</v>
      </c>
      <c r="G119" s="6" t="str">
        <f t="shared" si="13"/>
        <v>Medima Sp. z o.o.</v>
      </c>
      <c r="H119" s="6">
        <v>2015</v>
      </c>
      <c r="I119" s="6"/>
      <c r="J119" s="18">
        <v>2</v>
      </c>
      <c r="K119" s="19"/>
      <c r="L119" s="19"/>
      <c r="M119" s="19"/>
    </row>
    <row r="120" spans="1:13">
      <c r="A120" s="6">
        <v>116</v>
      </c>
      <c r="B120" s="6" t="str">
        <f t="shared" si="19"/>
        <v>Pompa infuzyjna strzykawkowa</v>
      </c>
      <c r="C120" s="6" t="str">
        <f t="shared" si="20"/>
        <v>S2</v>
      </c>
      <c r="D120" s="6" t="str">
        <f>"0122944/15 "</f>
        <v xml:space="preserve">0122944/15 </v>
      </c>
      <c r="E120" s="6" t="str">
        <f>"1/802/278"</f>
        <v>1/802/278</v>
      </c>
      <c r="F120" s="6" t="str">
        <f t="shared" si="21"/>
        <v>Blok Operacyjny</v>
      </c>
      <c r="G120" s="6" t="str">
        <f t="shared" si="13"/>
        <v>Medima Sp. z o.o.</v>
      </c>
      <c r="H120" s="6">
        <v>2015</v>
      </c>
      <c r="I120" s="6"/>
      <c r="J120" s="18">
        <v>2</v>
      </c>
      <c r="K120" s="19"/>
      <c r="L120" s="19"/>
      <c r="M120" s="19"/>
    </row>
    <row r="121" spans="1:13">
      <c r="A121" s="6">
        <v>117</v>
      </c>
      <c r="B121" s="6" t="str">
        <f t="shared" si="19"/>
        <v>Pompa infuzyjna strzykawkowa</v>
      </c>
      <c r="C121" s="6" t="str">
        <f t="shared" si="20"/>
        <v>S2</v>
      </c>
      <c r="D121" s="6" t="str">
        <f>"0122945/15 "</f>
        <v xml:space="preserve">0122945/15 </v>
      </c>
      <c r="E121" s="6" t="str">
        <f>"1/802/277"</f>
        <v>1/802/277</v>
      </c>
      <c r="F121" s="6" t="str">
        <f t="shared" si="21"/>
        <v>Blok Operacyjny</v>
      </c>
      <c r="G121" s="6" t="str">
        <f t="shared" si="13"/>
        <v>Medima Sp. z o.o.</v>
      </c>
      <c r="H121" s="6">
        <v>2015</v>
      </c>
      <c r="I121" s="6"/>
      <c r="J121" s="18">
        <v>2</v>
      </c>
      <c r="K121" s="19"/>
      <c r="L121" s="19"/>
      <c r="M121" s="19"/>
    </row>
    <row r="122" spans="1:13">
      <c r="A122" s="6">
        <v>118</v>
      </c>
      <c r="B122" s="6" t="str">
        <f t="shared" si="19"/>
        <v>Pompa infuzyjna strzykawkowa</v>
      </c>
      <c r="C122" s="6" t="str">
        <f t="shared" si="20"/>
        <v>S2</v>
      </c>
      <c r="D122" s="6" t="str">
        <f>"0122934/15 "</f>
        <v xml:space="preserve">0122934/15 </v>
      </c>
      <c r="E122" s="6" t="str">
        <f>"1/802/287"</f>
        <v>1/802/287</v>
      </c>
      <c r="F122" s="6" t="str">
        <f t="shared" si="21"/>
        <v>Blok Operacyjny</v>
      </c>
      <c r="G122" s="6" t="str">
        <f t="shared" si="13"/>
        <v>Medima Sp. z o.o.</v>
      </c>
      <c r="H122" s="6">
        <v>2015</v>
      </c>
      <c r="I122" s="6"/>
      <c r="J122" s="18">
        <v>2</v>
      </c>
      <c r="K122" s="19"/>
      <c r="L122" s="19"/>
      <c r="M122" s="19"/>
    </row>
    <row r="123" spans="1:13">
      <c r="A123" s="6">
        <v>119</v>
      </c>
      <c r="B123" s="6" t="str">
        <f t="shared" si="19"/>
        <v>Pompa infuzyjna strzykawkowa</v>
      </c>
      <c r="C123" s="6" t="str">
        <f t="shared" si="20"/>
        <v>S2</v>
      </c>
      <c r="D123" s="6" t="str">
        <f>"0122744/15 "</f>
        <v xml:space="preserve">0122744/15 </v>
      </c>
      <c r="E123" s="6" t="str">
        <f>"1/802/279"</f>
        <v>1/802/279</v>
      </c>
      <c r="F123" s="6" t="str">
        <f t="shared" ref="F123:F130" si="22">"Oddział Anestezjologii i Intensywnej Terapii"</f>
        <v>Oddział Anestezjologii i Intensywnej Terapii</v>
      </c>
      <c r="G123" s="6" t="str">
        <f t="shared" si="13"/>
        <v>Medima Sp. z o.o.</v>
      </c>
      <c r="H123" s="6">
        <v>2015</v>
      </c>
      <c r="I123" s="6"/>
      <c r="J123" s="18">
        <v>2</v>
      </c>
      <c r="K123" s="19"/>
      <c r="L123" s="19"/>
      <c r="M123" s="19"/>
    </row>
    <row r="124" spans="1:13">
      <c r="A124" s="6">
        <v>120</v>
      </c>
      <c r="B124" s="6" t="str">
        <f t="shared" si="19"/>
        <v>Pompa infuzyjna strzykawkowa</v>
      </c>
      <c r="C124" s="6" t="str">
        <f t="shared" si="20"/>
        <v>S2</v>
      </c>
      <c r="D124" s="6" t="str">
        <f>"0122928/15 "</f>
        <v xml:space="preserve">0122928/15 </v>
      </c>
      <c r="E124" s="6" t="str">
        <f>"1/802/281"</f>
        <v>1/802/281</v>
      </c>
      <c r="F124" s="6" t="str">
        <f t="shared" si="22"/>
        <v>Oddział Anestezjologii i Intensywnej Terapii</v>
      </c>
      <c r="G124" s="6" t="str">
        <f t="shared" si="13"/>
        <v>Medima Sp. z o.o.</v>
      </c>
      <c r="H124" s="6">
        <v>2015</v>
      </c>
      <c r="I124" s="6"/>
      <c r="J124" s="18">
        <v>2</v>
      </c>
      <c r="K124" s="19"/>
      <c r="L124" s="19"/>
      <c r="M124" s="19"/>
    </row>
    <row r="125" spans="1:13">
      <c r="A125" s="6">
        <v>121</v>
      </c>
      <c r="B125" s="6" t="str">
        <f t="shared" si="19"/>
        <v>Pompa infuzyjna strzykawkowa</v>
      </c>
      <c r="C125" s="6" t="str">
        <f t="shared" si="20"/>
        <v>S2</v>
      </c>
      <c r="D125" s="6" t="str">
        <f>"0122929/15 "</f>
        <v xml:space="preserve">0122929/15 </v>
      </c>
      <c r="E125" s="6" t="str">
        <f>"1/802/282"</f>
        <v>1/802/282</v>
      </c>
      <c r="F125" s="6" t="str">
        <f t="shared" si="22"/>
        <v>Oddział Anestezjologii i Intensywnej Terapii</v>
      </c>
      <c r="G125" s="6" t="str">
        <f t="shared" si="13"/>
        <v>Medima Sp. z o.o.</v>
      </c>
      <c r="H125" s="6">
        <v>2015</v>
      </c>
      <c r="I125" s="6"/>
      <c r="J125" s="18">
        <v>2</v>
      </c>
      <c r="K125" s="19"/>
      <c r="L125" s="19"/>
      <c r="M125" s="19"/>
    </row>
    <row r="126" spans="1:13">
      <c r="A126" s="6">
        <v>122</v>
      </c>
      <c r="B126" s="6" t="str">
        <f t="shared" si="19"/>
        <v>Pompa infuzyjna strzykawkowa</v>
      </c>
      <c r="C126" s="6" t="str">
        <f t="shared" si="20"/>
        <v>S2</v>
      </c>
      <c r="D126" s="6" t="str">
        <f>"0122930/15 "</f>
        <v xml:space="preserve">0122930/15 </v>
      </c>
      <c r="E126" s="6" t="str">
        <f>"1/802/283"</f>
        <v>1/802/283</v>
      </c>
      <c r="F126" s="6" t="str">
        <f t="shared" si="22"/>
        <v>Oddział Anestezjologii i Intensywnej Terapii</v>
      </c>
      <c r="G126" s="6" t="str">
        <f t="shared" si="13"/>
        <v>Medima Sp. z o.o.</v>
      </c>
      <c r="H126" s="6">
        <v>2015</v>
      </c>
      <c r="I126" s="6"/>
      <c r="J126" s="18">
        <v>2</v>
      </c>
      <c r="K126" s="19"/>
      <c r="L126" s="19"/>
      <c r="M126" s="19"/>
    </row>
    <row r="127" spans="1:13">
      <c r="A127" s="6">
        <v>123</v>
      </c>
      <c r="B127" s="6" t="str">
        <f t="shared" si="19"/>
        <v>Pompa infuzyjna strzykawkowa</v>
      </c>
      <c r="C127" s="6" t="str">
        <f t="shared" si="20"/>
        <v>S2</v>
      </c>
      <c r="D127" s="6" t="str">
        <f>"0122931/15 "</f>
        <v xml:space="preserve">0122931/15 </v>
      </c>
      <c r="E127" s="6" t="str">
        <f>"1/802/284"</f>
        <v>1/802/284</v>
      </c>
      <c r="F127" s="6" t="str">
        <f t="shared" si="22"/>
        <v>Oddział Anestezjologii i Intensywnej Terapii</v>
      </c>
      <c r="G127" s="6" t="str">
        <f t="shared" si="13"/>
        <v>Medima Sp. z o.o.</v>
      </c>
      <c r="H127" s="6">
        <v>2015</v>
      </c>
      <c r="I127" s="6"/>
      <c r="J127" s="18">
        <v>2</v>
      </c>
      <c r="K127" s="19"/>
      <c r="L127" s="19"/>
      <c r="M127" s="19"/>
    </row>
    <row r="128" spans="1:13">
      <c r="A128" s="6">
        <v>124</v>
      </c>
      <c r="B128" s="6" t="str">
        <f t="shared" si="19"/>
        <v>Pompa infuzyjna strzykawkowa</v>
      </c>
      <c r="C128" s="6" t="str">
        <f t="shared" si="20"/>
        <v>S2</v>
      </c>
      <c r="D128" s="6" t="str">
        <f>"0122932/15 "</f>
        <v xml:space="preserve">0122932/15 </v>
      </c>
      <c r="E128" s="6" t="str">
        <f>"1/802/285"</f>
        <v>1/802/285</v>
      </c>
      <c r="F128" s="6" t="str">
        <f t="shared" si="22"/>
        <v>Oddział Anestezjologii i Intensywnej Terapii</v>
      </c>
      <c r="G128" s="6" t="str">
        <f t="shared" si="13"/>
        <v>Medima Sp. z o.o.</v>
      </c>
      <c r="H128" s="6">
        <v>2015</v>
      </c>
      <c r="I128" s="6"/>
      <c r="J128" s="18">
        <v>2</v>
      </c>
      <c r="K128" s="19"/>
      <c r="L128" s="19"/>
      <c r="M128" s="19"/>
    </row>
    <row r="129" spans="1:13">
      <c r="A129" s="6">
        <v>125</v>
      </c>
      <c r="B129" s="6" t="str">
        <f t="shared" si="19"/>
        <v>Pompa infuzyjna strzykawkowa</v>
      </c>
      <c r="C129" s="6" t="str">
        <f t="shared" si="20"/>
        <v>S2</v>
      </c>
      <c r="D129" s="6" t="str">
        <f>"0122939/15 "</f>
        <v xml:space="preserve">0122939/15 </v>
      </c>
      <c r="E129" s="6" t="str">
        <f>"1/802/292"</f>
        <v>1/802/292</v>
      </c>
      <c r="F129" s="6" t="str">
        <f t="shared" si="22"/>
        <v>Oddział Anestezjologii i Intensywnej Terapii</v>
      </c>
      <c r="G129" s="6" t="str">
        <f t="shared" si="13"/>
        <v>Medima Sp. z o.o.</v>
      </c>
      <c r="H129" s="6">
        <v>2015</v>
      </c>
      <c r="I129" s="6"/>
      <c r="J129" s="18">
        <v>2</v>
      </c>
      <c r="K129" s="19"/>
      <c r="L129" s="19"/>
      <c r="M129" s="19"/>
    </row>
    <row r="130" spans="1:13">
      <c r="A130" s="6">
        <v>126</v>
      </c>
      <c r="B130" s="6" t="str">
        <f t="shared" si="19"/>
        <v>Pompa infuzyjna strzykawkowa</v>
      </c>
      <c r="C130" s="6" t="str">
        <f t="shared" si="20"/>
        <v>S2</v>
      </c>
      <c r="D130" s="6" t="str">
        <f>"0122943/15 "</f>
        <v xml:space="preserve">0122943/15 </v>
      </c>
      <c r="E130" s="6" t="str">
        <f>"1/802/296"</f>
        <v>1/802/296</v>
      </c>
      <c r="F130" s="6" t="str">
        <f t="shared" si="22"/>
        <v>Oddział Anestezjologii i Intensywnej Terapii</v>
      </c>
      <c r="G130" s="6" t="str">
        <f t="shared" si="13"/>
        <v>Medima Sp. z o.o.</v>
      </c>
      <c r="H130" s="6">
        <v>2015</v>
      </c>
      <c r="I130" s="6"/>
      <c r="J130" s="18">
        <v>2</v>
      </c>
      <c r="K130" s="19"/>
      <c r="L130" s="19"/>
      <c r="M130" s="19"/>
    </row>
    <row r="131" spans="1:13">
      <c r="A131" s="6">
        <v>127</v>
      </c>
      <c r="B131" s="6" t="str">
        <f t="shared" si="19"/>
        <v>Pompa infuzyjna strzykawkowa</v>
      </c>
      <c r="C131" s="6" t="str">
        <f>"S1"</f>
        <v>S1</v>
      </c>
      <c r="D131" s="6" t="str">
        <f>"12405616 "</f>
        <v xml:space="preserve">12405616 </v>
      </c>
      <c r="E131" s="6" t="str">
        <f>"802/1613"</f>
        <v>802/1613</v>
      </c>
      <c r="F131" s="6" t="str">
        <f>"Oddział Kardiologiczny A"</f>
        <v>Oddział Kardiologiczny A</v>
      </c>
      <c r="G131" s="6" t="str">
        <f t="shared" si="13"/>
        <v>Medima Sp. z o.o.</v>
      </c>
      <c r="H131" s="6">
        <v>2016</v>
      </c>
      <c r="I131" s="6"/>
      <c r="J131" s="18">
        <v>2</v>
      </c>
      <c r="K131" s="19"/>
      <c r="L131" s="19"/>
      <c r="M131" s="19"/>
    </row>
    <row r="132" spans="1:13">
      <c r="A132" s="6">
        <v>128</v>
      </c>
      <c r="B132" s="6" t="str">
        <f t="shared" si="19"/>
        <v>Pompa infuzyjna strzykawkowa</v>
      </c>
      <c r="C132" s="6" t="str">
        <f>"S1"</f>
        <v>S1</v>
      </c>
      <c r="D132" s="6" t="str">
        <f>"12405716 "</f>
        <v xml:space="preserve">12405716 </v>
      </c>
      <c r="E132" s="6" t="str">
        <f>"802/1614"</f>
        <v>802/1614</v>
      </c>
      <c r="F132" s="6" t="str">
        <f>"Oddział Kardiologiczny A"</f>
        <v>Oddział Kardiologiczny A</v>
      </c>
      <c r="G132" s="6" t="str">
        <f t="shared" si="13"/>
        <v>Medima Sp. z o.o.</v>
      </c>
      <c r="H132" s="6">
        <v>2016</v>
      </c>
      <c r="I132" s="6"/>
      <c r="J132" s="18">
        <v>2</v>
      </c>
      <c r="K132" s="19"/>
      <c r="L132" s="19"/>
      <c r="M132" s="19"/>
    </row>
    <row r="133" spans="1:13">
      <c r="A133" s="6">
        <v>129</v>
      </c>
      <c r="B133" s="6" t="str">
        <f t="shared" si="19"/>
        <v>Pompa infuzyjna strzykawkowa</v>
      </c>
      <c r="C133" s="6" t="str">
        <f>"S1"</f>
        <v>S1</v>
      </c>
      <c r="D133" s="6" t="str">
        <f>"12405416 "</f>
        <v xml:space="preserve">12405416 </v>
      </c>
      <c r="E133" s="6" t="str">
        <f>"802/1611"</f>
        <v>802/1611</v>
      </c>
      <c r="F133" s="6" t="str">
        <f>"Oddział Onkologii Klinicznej"</f>
        <v>Oddział Onkologii Klinicznej</v>
      </c>
      <c r="G133" s="6" t="str">
        <f t="shared" ref="G133:G196" si="23">"Medima Sp. z o.o."</f>
        <v>Medima Sp. z o.o.</v>
      </c>
      <c r="H133" s="6">
        <v>2016</v>
      </c>
      <c r="I133" s="6"/>
      <c r="J133" s="18">
        <v>2</v>
      </c>
      <c r="K133" s="19"/>
      <c r="L133" s="19"/>
      <c r="M133" s="19"/>
    </row>
    <row r="134" spans="1:13">
      <c r="A134" s="6">
        <v>130</v>
      </c>
      <c r="B134" s="6" t="str">
        <f t="shared" si="19"/>
        <v>Pompa infuzyjna strzykawkowa</v>
      </c>
      <c r="C134" s="6" t="str">
        <f>"S1"</f>
        <v>S1</v>
      </c>
      <c r="D134" s="6" t="str">
        <f>"12405516 "</f>
        <v xml:space="preserve">12405516 </v>
      </c>
      <c r="E134" s="6" t="str">
        <f>"802/1612"</f>
        <v>802/1612</v>
      </c>
      <c r="F134" s="6" t="str">
        <f>"Oddział Onkologii Klinicznej"</f>
        <v>Oddział Onkologii Klinicznej</v>
      </c>
      <c r="G134" s="6" t="str">
        <f t="shared" si="23"/>
        <v>Medima Sp. z o.o.</v>
      </c>
      <c r="H134" s="6">
        <v>2016</v>
      </c>
      <c r="I134" s="6"/>
      <c r="J134" s="18">
        <v>2</v>
      </c>
      <c r="K134" s="19"/>
      <c r="L134" s="19"/>
      <c r="M134" s="19"/>
    </row>
    <row r="135" spans="1:13">
      <c r="A135" s="6">
        <v>131</v>
      </c>
      <c r="B135" s="6" t="str">
        <f t="shared" si="19"/>
        <v>Pompa infuzyjna strzykawkowa</v>
      </c>
      <c r="C135" s="6" t="str">
        <f>"S1"</f>
        <v>S1</v>
      </c>
      <c r="D135" s="6" t="str">
        <f>"12405816 "</f>
        <v xml:space="preserve">12405816 </v>
      </c>
      <c r="E135" s="6" t="str">
        <f>"802/1615"</f>
        <v>802/1615</v>
      </c>
      <c r="F135" s="6" t="str">
        <f>"Oddział Urologiczny"</f>
        <v>Oddział Urologiczny</v>
      </c>
      <c r="G135" s="6" t="str">
        <f t="shared" si="23"/>
        <v>Medima Sp. z o.o.</v>
      </c>
      <c r="H135" s="6">
        <v>2016</v>
      </c>
      <c r="I135" s="6"/>
      <c r="J135" s="18">
        <v>2</v>
      </c>
      <c r="K135" s="19"/>
      <c r="L135" s="19"/>
      <c r="M135" s="19"/>
    </row>
    <row r="136" spans="1:13">
      <c r="A136" s="6">
        <v>132</v>
      </c>
      <c r="B136" s="6" t="str">
        <f t="shared" ref="B136:B146" si="24">"Pompa infuzyjna objętościowa (perystaltyczna)"</f>
        <v>Pompa infuzyjna objętościowa (perystaltyczna)</v>
      </c>
      <c r="C136" s="6" t="str">
        <f t="shared" ref="C136:C146" si="25">"P2"</f>
        <v>P2</v>
      </c>
      <c r="D136" s="6" t="str">
        <f>"020984616"</f>
        <v>020984616</v>
      </c>
      <c r="E136" s="6" t="str">
        <f>"802/1695"</f>
        <v>802/1695</v>
      </c>
      <c r="F136" s="6" t="str">
        <f t="shared" ref="F136:F145" si="26">"Oddział Onkologii Klinicznej"</f>
        <v>Oddział Onkologii Klinicznej</v>
      </c>
      <c r="G136" s="6" t="str">
        <f t="shared" si="23"/>
        <v>Medima Sp. z o.o.</v>
      </c>
      <c r="H136" s="6">
        <v>2016</v>
      </c>
      <c r="I136" s="6"/>
      <c r="J136" s="18">
        <v>2</v>
      </c>
      <c r="K136" s="19"/>
      <c r="L136" s="19"/>
      <c r="M136" s="19"/>
    </row>
    <row r="137" spans="1:13">
      <c r="A137" s="6">
        <v>133</v>
      </c>
      <c r="B137" s="6" t="str">
        <f t="shared" si="24"/>
        <v>Pompa infuzyjna objętościowa (perystaltyczna)</v>
      </c>
      <c r="C137" s="6" t="str">
        <f t="shared" si="25"/>
        <v>P2</v>
      </c>
      <c r="D137" s="6" t="str">
        <f>"020984716"</f>
        <v>020984716</v>
      </c>
      <c r="E137" s="6" t="str">
        <f>"802/1696"</f>
        <v>802/1696</v>
      </c>
      <c r="F137" s="6" t="str">
        <f t="shared" si="26"/>
        <v>Oddział Onkologii Klinicznej</v>
      </c>
      <c r="G137" s="6" t="str">
        <f t="shared" si="23"/>
        <v>Medima Sp. z o.o.</v>
      </c>
      <c r="H137" s="6">
        <v>2016</v>
      </c>
      <c r="I137" s="6"/>
      <c r="J137" s="18">
        <v>2</v>
      </c>
      <c r="K137" s="19"/>
      <c r="L137" s="19"/>
      <c r="M137" s="19"/>
    </row>
    <row r="138" spans="1:13">
      <c r="A138" s="6">
        <v>134</v>
      </c>
      <c r="B138" s="6" t="str">
        <f t="shared" si="24"/>
        <v>Pompa infuzyjna objętościowa (perystaltyczna)</v>
      </c>
      <c r="C138" s="6" t="str">
        <f t="shared" si="25"/>
        <v>P2</v>
      </c>
      <c r="D138" s="6" t="str">
        <f>"020984816"</f>
        <v>020984816</v>
      </c>
      <c r="E138" s="6" t="str">
        <f>"802/1697"</f>
        <v>802/1697</v>
      </c>
      <c r="F138" s="6" t="str">
        <f t="shared" si="26"/>
        <v>Oddział Onkologii Klinicznej</v>
      </c>
      <c r="G138" s="6" t="str">
        <f t="shared" si="23"/>
        <v>Medima Sp. z o.o.</v>
      </c>
      <c r="H138" s="6">
        <v>2016</v>
      </c>
      <c r="I138" s="6"/>
      <c r="J138" s="18">
        <v>2</v>
      </c>
      <c r="K138" s="19"/>
      <c r="L138" s="19"/>
      <c r="M138" s="19"/>
    </row>
    <row r="139" spans="1:13">
      <c r="A139" s="6">
        <v>135</v>
      </c>
      <c r="B139" s="6" t="str">
        <f t="shared" si="24"/>
        <v>Pompa infuzyjna objętościowa (perystaltyczna)</v>
      </c>
      <c r="C139" s="6" t="str">
        <f t="shared" si="25"/>
        <v>P2</v>
      </c>
      <c r="D139" s="6" t="str">
        <f>"020984916"</f>
        <v>020984916</v>
      </c>
      <c r="E139" s="6" t="str">
        <f>"802/1698"</f>
        <v>802/1698</v>
      </c>
      <c r="F139" s="6" t="str">
        <f t="shared" si="26"/>
        <v>Oddział Onkologii Klinicznej</v>
      </c>
      <c r="G139" s="6" t="str">
        <f t="shared" si="23"/>
        <v>Medima Sp. z o.o.</v>
      </c>
      <c r="H139" s="6">
        <v>2016</v>
      </c>
      <c r="I139" s="6"/>
      <c r="J139" s="18">
        <v>2</v>
      </c>
      <c r="K139" s="19"/>
      <c r="L139" s="19"/>
      <c r="M139" s="19"/>
    </row>
    <row r="140" spans="1:13">
      <c r="A140" s="6">
        <v>136</v>
      </c>
      <c r="B140" s="6" t="str">
        <f t="shared" si="24"/>
        <v>Pompa infuzyjna objętościowa (perystaltyczna)</v>
      </c>
      <c r="C140" s="6" t="str">
        <f t="shared" si="25"/>
        <v>P2</v>
      </c>
      <c r="D140" s="6" t="str">
        <f>"020985116"</f>
        <v>020985116</v>
      </c>
      <c r="E140" s="6" t="str">
        <f>"802/1699"</f>
        <v>802/1699</v>
      </c>
      <c r="F140" s="6" t="str">
        <f t="shared" si="26"/>
        <v>Oddział Onkologii Klinicznej</v>
      </c>
      <c r="G140" s="6" t="str">
        <f t="shared" si="23"/>
        <v>Medima Sp. z o.o.</v>
      </c>
      <c r="H140" s="6">
        <v>2016</v>
      </c>
      <c r="I140" s="6"/>
      <c r="J140" s="18">
        <v>2</v>
      </c>
      <c r="K140" s="19"/>
      <c r="L140" s="19"/>
      <c r="M140" s="19"/>
    </row>
    <row r="141" spans="1:13">
      <c r="A141" s="6">
        <v>137</v>
      </c>
      <c r="B141" s="6" t="str">
        <f t="shared" si="24"/>
        <v>Pompa infuzyjna objętościowa (perystaltyczna)</v>
      </c>
      <c r="C141" s="6" t="str">
        <f t="shared" si="25"/>
        <v>P2</v>
      </c>
      <c r="D141" s="6" t="str">
        <f>"020985216"</f>
        <v>020985216</v>
      </c>
      <c r="E141" s="6" t="str">
        <f>"802/1700"</f>
        <v>802/1700</v>
      </c>
      <c r="F141" s="6" t="str">
        <f t="shared" si="26"/>
        <v>Oddział Onkologii Klinicznej</v>
      </c>
      <c r="G141" s="6" t="str">
        <f t="shared" si="23"/>
        <v>Medima Sp. z o.o.</v>
      </c>
      <c r="H141" s="6">
        <v>2016</v>
      </c>
      <c r="I141" s="6"/>
      <c r="J141" s="18">
        <v>2</v>
      </c>
      <c r="K141" s="19"/>
      <c r="L141" s="19"/>
      <c r="M141" s="19"/>
    </row>
    <row r="142" spans="1:13">
      <c r="A142" s="6">
        <v>138</v>
      </c>
      <c r="B142" s="6" t="str">
        <f t="shared" si="24"/>
        <v>Pompa infuzyjna objętościowa (perystaltyczna)</v>
      </c>
      <c r="C142" s="6" t="str">
        <f t="shared" si="25"/>
        <v>P2</v>
      </c>
      <c r="D142" s="6" t="str">
        <f>"020985316"</f>
        <v>020985316</v>
      </c>
      <c r="E142" s="6" t="str">
        <f>"802/1701"</f>
        <v>802/1701</v>
      </c>
      <c r="F142" s="6" t="str">
        <f t="shared" si="26"/>
        <v>Oddział Onkologii Klinicznej</v>
      </c>
      <c r="G142" s="6" t="str">
        <f t="shared" si="23"/>
        <v>Medima Sp. z o.o.</v>
      </c>
      <c r="H142" s="6">
        <v>2016</v>
      </c>
      <c r="I142" s="6"/>
      <c r="J142" s="18">
        <v>2</v>
      </c>
      <c r="K142" s="19"/>
      <c r="L142" s="19"/>
      <c r="M142" s="19"/>
    </row>
    <row r="143" spans="1:13">
      <c r="A143" s="6">
        <v>139</v>
      </c>
      <c r="B143" s="6" t="str">
        <f t="shared" si="24"/>
        <v>Pompa infuzyjna objętościowa (perystaltyczna)</v>
      </c>
      <c r="C143" s="6" t="str">
        <f t="shared" si="25"/>
        <v>P2</v>
      </c>
      <c r="D143" s="6" t="str">
        <f>"020985416"</f>
        <v>020985416</v>
      </c>
      <c r="E143" s="6" t="str">
        <f>"802/1702"</f>
        <v>802/1702</v>
      </c>
      <c r="F143" s="6" t="str">
        <f t="shared" si="26"/>
        <v>Oddział Onkologii Klinicznej</v>
      </c>
      <c r="G143" s="6" t="str">
        <f t="shared" si="23"/>
        <v>Medima Sp. z o.o.</v>
      </c>
      <c r="H143" s="6">
        <v>2016</v>
      </c>
      <c r="I143" s="6"/>
      <c r="J143" s="18">
        <v>2</v>
      </c>
      <c r="K143" s="19"/>
      <c r="L143" s="19"/>
      <c r="M143" s="19"/>
    </row>
    <row r="144" spans="1:13">
      <c r="A144" s="6">
        <v>140</v>
      </c>
      <c r="B144" s="6" t="str">
        <f t="shared" si="24"/>
        <v>Pompa infuzyjna objętościowa (perystaltyczna)</v>
      </c>
      <c r="C144" s="6" t="str">
        <f t="shared" si="25"/>
        <v>P2</v>
      </c>
      <c r="D144" s="6" t="str">
        <f>"020985516"</f>
        <v>020985516</v>
      </c>
      <c r="E144" s="6" t="str">
        <f>"802/1703"</f>
        <v>802/1703</v>
      </c>
      <c r="F144" s="6" t="str">
        <f t="shared" si="26"/>
        <v>Oddział Onkologii Klinicznej</v>
      </c>
      <c r="G144" s="6" t="str">
        <f t="shared" si="23"/>
        <v>Medima Sp. z o.o.</v>
      </c>
      <c r="H144" s="6">
        <v>2016</v>
      </c>
      <c r="I144" s="6"/>
      <c r="J144" s="18">
        <v>2</v>
      </c>
      <c r="K144" s="19"/>
      <c r="L144" s="19"/>
      <c r="M144" s="19"/>
    </row>
    <row r="145" spans="1:13">
      <c r="A145" s="6">
        <v>141</v>
      </c>
      <c r="B145" s="6" t="str">
        <f t="shared" si="24"/>
        <v>Pompa infuzyjna objętościowa (perystaltyczna)</v>
      </c>
      <c r="C145" s="6" t="str">
        <f t="shared" si="25"/>
        <v>P2</v>
      </c>
      <c r="D145" s="6" t="str">
        <f>"020985616"</f>
        <v>020985616</v>
      </c>
      <c r="E145" s="6" t="str">
        <f>"802/1704"</f>
        <v>802/1704</v>
      </c>
      <c r="F145" s="6" t="str">
        <f t="shared" si="26"/>
        <v>Oddział Onkologii Klinicznej</v>
      </c>
      <c r="G145" s="6" t="str">
        <f t="shared" si="23"/>
        <v>Medima Sp. z o.o.</v>
      </c>
      <c r="H145" s="6">
        <v>2016</v>
      </c>
      <c r="I145" s="6"/>
      <c r="J145" s="18">
        <v>2</v>
      </c>
      <c r="K145" s="19"/>
      <c r="L145" s="19"/>
      <c r="M145" s="19"/>
    </row>
    <row r="146" spans="1:13">
      <c r="A146" s="6">
        <v>142</v>
      </c>
      <c r="B146" s="6" t="str">
        <f t="shared" si="24"/>
        <v>Pompa infuzyjna objętościowa (perystaltyczna)</v>
      </c>
      <c r="C146" s="6" t="str">
        <f t="shared" si="25"/>
        <v>P2</v>
      </c>
      <c r="D146" s="6" t="str">
        <f>"020985016"</f>
        <v>020985016</v>
      </c>
      <c r="E146" s="6" t="str">
        <f>"802/1705"</f>
        <v>802/1705</v>
      </c>
      <c r="F146" s="6" t="str">
        <f>"Oddział Patologii i Intensywnej Terapii Noworodka"</f>
        <v>Oddział Patologii i Intensywnej Terapii Noworodka</v>
      </c>
      <c r="G146" s="6" t="str">
        <f t="shared" si="23"/>
        <v>Medima Sp. z o.o.</v>
      </c>
      <c r="H146" s="6">
        <v>2016</v>
      </c>
      <c r="I146" s="6"/>
      <c r="J146" s="18">
        <v>2</v>
      </c>
      <c r="K146" s="19"/>
      <c r="L146" s="19"/>
      <c r="M146" s="19"/>
    </row>
    <row r="147" spans="1:13">
      <c r="A147" s="6">
        <v>143</v>
      </c>
      <c r="B147" s="6" t="str">
        <f t="shared" ref="B147:B165" si="27">"Pompa infuzyjna strzykawkowa"</f>
        <v>Pompa infuzyjna strzykawkowa</v>
      </c>
      <c r="C147" s="6" t="str">
        <f>"S2"</f>
        <v>S2</v>
      </c>
      <c r="D147" s="6" t="str">
        <f>"012520016"</f>
        <v>012520016</v>
      </c>
      <c r="E147" s="6" t="str">
        <f>"802/1706"</f>
        <v>802/1706</v>
      </c>
      <c r="F147" s="6" t="str">
        <f>"Oddział Ginekologiczny"</f>
        <v>Oddział Ginekologiczny</v>
      </c>
      <c r="G147" s="6" t="str">
        <f t="shared" si="23"/>
        <v>Medima Sp. z o.o.</v>
      </c>
      <c r="H147" s="6">
        <v>2016</v>
      </c>
      <c r="I147" s="6"/>
      <c r="J147" s="18">
        <v>2</v>
      </c>
      <c r="K147" s="19"/>
      <c r="L147" s="19"/>
      <c r="M147" s="19"/>
    </row>
    <row r="148" spans="1:13">
      <c r="A148" s="6">
        <v>144</v>
      </c>
      <c r="B148" s="6" t="str">
        <f t="shared" si="27"/>
        <v>Pompa infuzyjna strzykawkowa</v>
      </c>
      <c r="C148" s="6" t="str">
        <f t="shared" ref="C148:C161" si="28">"S300"</f>
        <v>S300</v>
      </c>
      <c r="D148" s="6" t="str">
        <f>"300011642"</f>
        <v>300011642</v>
      </c>
      <c r="E148" s="6" t="str">
        <f>"802/2035"</f>
        <v>802/2035</v>
      </c>
      <c r="F148" s="6" t="str">
        <f t="shared" ref="F148:F159" si="29">"Oddział Udarowy"</f>
        <v>Oddział Udarowy</v>
      </c>
      <c r="G148" s="6" t="str">
        <f t="shared" si="23"/>
        <v>Medima Sp. z o.o.</v>
      </c>
      <c r="H148" s="6">
        <v>2019</v>
      </c>
      <c r="I148" s="6"/>
      <c r="J148" s="18">
        <v>2</v>
      </c>
      <c r="K148" s="19"/>
      <c r="L148" s="19"/>
      <c r="M148" s="19"/>
    </row>
    <row r="149" spans="1:13">
      <c r="A149" s="6">
        <v>145</v>
      </c>
      <c r="B149" s="6" t="str">
        <f t="shared" si="27"/>
        <v>Pompa infuzyjna strzykawkowa</v>
      </c>
      <c r="C149" s="6" t="str">
        <f t="shared" si="28"/>
        <v>S300</v>
      </c>
      <c r="D149" s="6" t="str">
        <f>"300011651"</f>
        <v>300011651</v>
      </c>
      <c r="E149" s="6" t="str">
        <f>"802/2036"</f>
        <v>802/2036</v>
      </c>
      <c r="F149" s="6" t="str">
        <f t="shared" si="29"/>
        <v>Oddział Udarowy</v>
      </c>
      <c r="G149" s="6" t="str">
        <f t="shared" si="23"/>
        <v>Medima Sp. z o.o.</v>
      </c>
      <c r="H149" s="6">
        <v>2019</v>
      </c>
      <c r="I149" s="6"/>
      <c r="J149" s="18">
        <v>2</v>
      </c>
      <c r="K149" s="19"/>
      <c r="L149" s="19"/>
      <c r="M149" s="19"/>
    </row>
    <row r="150" spans="1:13">
      <c r="A150" s="6">
        <v>146</v>
      </c>
      <c r="B150" s="6" t="str">
        <f t="shared" si="27"/>
        <v>Pompa infuzyjna strzykawkowa</v>
      </c>
      <c r="C150" s="6" t="str">
        <f t="shared" si="28"/>
        <v>S300</v>
      </c>
      <c r="D150" s="6" t="str">
        <f>"300011646"</f>
        <v>300011646</v>
      </c>
      <c r="E150" s="6" t="str">
        <f>"802/2037"</f>
        <v>802/2037</v>
      </c>
      <c r="F150" s="6" t="str">
        <f t="shared" si="29"/>
        <v>Oddział Udarowy</v>
      </c>
      <c r="G150" s="6" t="str">
        <f t="shared" si="23"/>
        <v>Medima Sp. z o.o.</v>
      </c>
      <c r="H150" s="6">
        <v>2019</v>
      </c>
      <c r="I150" s="6"/>
      <c r="J150" s="18">
        <v>2</v>
      </c>
      <c r="K150" s="19"/>
      <c r="L150" s="19"/>
      <c r="M150" s="19"/>
    </row>
    <row r="151" spans="1:13">
      <c r="A151" s="6">
        <v>147</v>
      </c>
      <c r="B151" s="6" t="str">
        <f t="shared" si="27"/>
        <v>Pompa infuzyjna strzykawkowa</v>
      </c>
      <c r="C151" s="6" t="str">
        <f t="shared" si="28"/>
        <v>S300</v>
      </c>
      <c r="D151" s="6" t="str">
        <f>"300011649"</f>
        <v>300011649</v>
      </c>
      <c r="E151" s="6" t="str">
        <f>"802/2038"</f>
        <v>802/2038</v>
      </c>
      <c r="F151" s="6" t="str">
        <f t="shared" si="29"/>
        <v>Oddział Udarowy</v>
      </c>
      <c r="G151" s="6" t="str">
        <f t="shared" si="23"/>
        <v>Medima Sp. z o.o.</v>
      </c>
      <c r="H151" s="6">
        <v>2019</v>
      </c>
      <c r="I151" s="6"/>
      <c r="J151" s="18">
        <v>2</v>
      </c>
      <c r="K151" s="19"/>
      <c r="L151" s="19"/>
      <c r="M151" s="19"/>
    </row>
    <row r="152" spans="1:13">
      <c r="A152" s="6">
        <v>148</v>
      </c>
      <c r="B152" s="6" t="str">
        <f t="shared" si="27"/>
        <v>Pompa infuzyjna strzykawkowa</v>
      </c>
      <c r="C152" s="6" t="str">
        <f t="shared" si="28"/>
        <v>S300</v>
      </c>
      <c r="D152" s="6" t="str">
        <f>"300011645"</f>
        <v>300011645</v>
      </c>
      <c r="E152" s="6" t="str">
        <f>"802/2039"</f>
        <v>802/2039</v>
      </c>
      <c r="F152" s="6" t="str">
        <f t="shared" si="29"/>
        <v>Oddział Udarowy</v>
      </c>
      <c r="G152" s="6" t="str">
        <f t="shared" si="23"/>
        <v>Medima Sp. z o.o.</v>
      </c>
      <c r="H152" s="6">
        <v>2019</v>
      </c>
      <c r="I152" s="6"/>
      <c r="J152" s="18">
        <v>2</v>
      </c>
      <c r="K152" s="19"/>
      <c r="L152" s="19"/>
      <c r="M152" s="19"/>
    </row>
    <row r="153" spans="1:13">
      <c r="A153" s="6">
        <v>149</v>
      </c>
      <c r="B153" s="6" t="str">
        <f t="shared" si="27"/>
        <v>Pompa infuzyjna strzykawkowa</v>
      </c>
      <c r="C153" s="6" t="str">
        <f t="shared" si="28"/>
        <v>S300</v>
      </c>
      <c r="D153" s="6" t="str">
        <f>"300011653"</f>
        <v>300011653</v>
      </c>
      <c r="E153" s="6" t="str">
        <f>"802/2040"</f>
        <v>802/2040</v>
      </c>
      <c r="F153" s="6" t="str">
        <f t="shared" si="29"/>
        <v>Oddział Udarowy</v>
      </c>
      <c r="G153" s="6" t="str">
        <f t="shared" si="23"/>
        <v>Medima Sp. z o.o.</v>
      </c>
      <c r="H153" s="6">
        <v>2019</v>
      </c>
      <c r="I153" s="6"/>
      <c r="J153" s="18">
        <v>2</v>
      </c>
      <c r="K153" s="19"/>
      <c r="L153" s="19"/>
      <c r="M153" s="19"/>
    </row>
    <row r="154" spans="1:13">
      <c r="A154" s="6">
        <v>150</v>
      </c>
      <c r="B154" s="6" t="str">
        <f t="shared" si="27"/>
        <v>Pompa infuzyjna strzykawkowa</v>
      </c>
      <c r="C154" s="6" t="str">
        <f t="shared" si="28"/>
        <v>S300</v>
      </c>
      <c r="D154" s="6" t="str">
        <f>"300011652"</f>
        <v>300011652</v>
      </c>
      <c r="E154" s="6" t="str">
        <f>"802/2041"</f>
        <v>802/2041</v>
      </c>
      <c r="F154" s="6" t="str">
        <f t="shared" si="29"/>
        <v>Oddział Udarowy</v>
      </c>
      <c r="G154" s="6" t="str">
        <f t="shared" si="23"/>
        <v>Medima Sp. z o.o.</v>
      </c>
      <c r="H154" s="6">
        <v>2019</v>
      </c>
      <c r="I154" s="6"/>
      <c r="J154" s="18">
        <v>2</v>
      </c>
      <c r="K154" s="19"/>
      <c r="L154" s="19"/>
      <c r="M154" s="19"/>
    </row>
    <row r="155" spans="1:13">
      <c r="A155" s="6">
        <v>151</v>
      </c>
      <c r="B155" s="6" t="str">
        <f t="shared" si="27"/>
        <v>Pompa infuzyjna strzykawkowa</v>
      </c>
      <c r="C155" s="6" t="str">
        <f t="shared" si="28"/>
        <v>S300</v>
      </c>
      <c r="D155" s="6" t="str">
        <f>"300011648"</f>
        <v>300011648</v>
      </c>
      <c r="E155" s="6" t="str">
        <f>"802/2042"</f>
        <v>802/2042</v>
      </c>
      <c r="F155" s="6" t="str">
        <f t="shared" si="29"/>
        <v>Oddział Udarowy</v>
      </c>
      <c r="G155" s="6" t="str">
        <f t="shared" si="23"/>
        <v>Medima Sp. z o.o.</v>
      </c>
      <c r="H155" s="6">
        <v>2019</v>
      </c>
      <c r="I155" s="6"/>
      <c r="J155" s="18">
        <v>2</v>
      </c>
      <c r="K155" s="19"/>
      <c r="L155" s="19"/>
      <c r="M155" s="19"/>
    </row>
    <row r="156" spans="1:13">
      <c r="A156" s="6">
        <v>152</v>
      </c>
      <c r="B156" s="6" t="str">
        <f t="shared" si="27"/>
        <v>Pompa infuzyjna strzykawkowa</v>
      </c>
      <c r="C156" s="6" t="str">
        <f t="shared" si="28"/>
        <v>S300</v>
      </c>
      <c r="D156" s="6" t="str">
        <f>"300011647"</f>
        <v>300011647</v>
      </c>
      <c r="E156" s="6" t="str">
        <f>"802/2043"</f>
        <v>802/2043</v>
      </c>
      <c r="F156" s="6" t="str">
        <f t="shared" si="29"/>
        <v>Oddział Udarowy</v>
      </c>
      <c r="G156" s="6" t="str">
        <f t="shared" si="23"/>
        <v>Medima Sp. z o.o.</v>
      </c>
      <c r="H156" s="6">
        <v>2019</v>
      </c>
      <c r="I156" s="6"/>
      <c r="J156" s="18">
        <v>2</v>
      </c>
      <c r="K156" s="19"/>
      <c r="L156" s="19"/>
      <c r="M156" s="19"/>
    </row>
    <row r="157" spans="1:13">
      <c r="A157" s="6">
        <v>153</v>
      </c>
      <c r="B157" s="6" t="str">
        <f t="shared" si="27"/>
        <v>Pompa infuzyjna strzykawkowa</v>
      </c>
      <c r="C157" s="6" t="str">
        <f t="shared" si="28"/>
        <v>S300</v>
      </c>
      <c r="D157" s="6" t="str">
        <f>"300011650"</f>
        <v>300011650</v>
      </c>
      <c r="E157" s="6" t="str">
        <f>"802/2044"</f>
        <v>802/2044</v>
      </c>
      <c r="F157" s="6" t="str">
        <f t="shared" si="29"/>
        <v>Oddział Udarowy</v>
      </c>
      <c r="G157" s="6" t="str">
        <f t="shared" si="23"/>
        <v>Medima Sp. z o.o.</v>
      </c>
      <c r="H157" s="6">
        <v>2019</v>
      </c>
      <c r="I157" s="6"/>
      <c r="J157" s="18">
        <v>2</v>
      </c>
      <c r="K157" s="19"/>
      <c r="L157" s="19"/>
      <c r="M157" s="19"/>
    </row>
    <row r="158" spans="1:13">
      <c r="A158" s="6">
        <v>154</v>
      </c>
      <c r="B158" s="6" t="str">
        <f t="shared" si="27"/>
        <v>Pompa infuzyjna strzykawkowa</v>
      </c>
      <c r="C158" s="6" t="str">
        <f t="shared" si="28"/>
        <v>S300</v>
      </c>
      <c r="D158" s="6" t="str">
        <f>"300011644"</f>
        <v>300011644</v>
      </c>
      <c r="E158" s="6" t="str">
        <f>"802/2045"</f>
        <v>802/2045</v>
      </c>
      <c r="F158" s="6" t="str">
        <f t="shared" si="29"/>
        <v>Oddział Udarowy</v>
      </c>
      <c r="G158" s="6" t="str">
        <f t="shared" si="23"/>
        <v>Medima Sp. z o.o.</v>
      </c>
      <c r="H158" s="6">
        <v>2019</v>
      </c>
      <c r="I158" s="6"/>
      <c r="J158" s="18">
        <v>2</v>
      </c>
      <c r="K158" s="19"/>
      <c r="L158" s="19"/>
      <c r="M158" s="19"/>
    </row>
    <row r="159" spans="1:13">
      <c r="A159" s="6">
        <v>155</v>
      </c>
      <c r="B159" s="6" t="str">
        <f t="shared" si="27"/>
        <v>Pompa infuzyjna strzykawkowa</v>
      </c>
      <c r="C159" s="6" t="str">
        <f t="shared" si="28"/>
        <v>S300</v>
      </c>
      <c r="D159" s="6" t="str">
        <f>"300011643"</f>
        <v>300011643</v>
      </c>
      <c r="E159" s="6" t="str">
        <f>"802/2046"</f>
        <v>802/2046</v>
      </c>
      <c r="F159" s="6" t="str">
        <f t="shared" si="29"/>
        <v>Oddział Udarowy</v>
      </c>
      <c r="G159" s="6" t="str">
        <f t="shared" si="23"/>
        <v>Medima Sp. z o.o.</v>
      </c>
      <c r="H159" s="6">
        <v>2019</v>
      </c>
      <c r="I159" s="6"/>
      <c r="J159" s="18">
        <v>2</v>
      </c>
      <c r="K159" s="19"/>
      <c r="L159" s="19"/>
      <c r="M159" s="19"/>
    </row>
    <row r="160" spans="1:13">
      <c r="A160" s="6">
        <v>156</v>
      </c>
      <c r="B160" s="6" t="str">
        <f t="shared" si="27"/>
        <v>Pompa infuzyjna strzykawkowa</v>
      </c>
      <c r="C160" s="6" t="str">
        <f t="shared" si="28"/>
        <v>S300</v>
      </c>
      <c r="D160" s="6" t="str">
        <f>"300011967"</f>
        <v>300011967</v>
      </c>
      <c r="E160" s="6" t="str">
        <f>"802/2065"</f>
        <v>802/2065</v>
      </c>
      <c r="F160" s="6" t="str">
        <f>"Oddział Chirurgii Dziecięcej"</f>
        <v>Oddział Chirurgii Dziecięcej</v>
      </c>
      <c r="G160" s="6" t="str">
        <f t="shared" si="23"/>
        <v>Medima Sp. z o.o.</v>
      </c>
      <c r="H160" s="6">
        <v>2019</v>
      </c>
      <c r="I160" s="6"/>
      <c r="J160" s="18">
        <v>2</v>
      </c>
      <c r="K160" s="19"/>
      <c r="L160" s="19"/>
      <c r="M160" s="19"/>
    </row>
    <row r="161" spans="1:13">
      <c r="A161" s="6">
        <v>157</v>
      </c>
      <c r="B161" s="6" t="str">
        <f t="shared" si="27"/>
        <v>Pompa infuzyjna strzykawkowa</v>
      </c>
      <c r="C161" s="6" t="str">
        <f t="shared" si="28"/>
        <v>S300</v>
      </c>
      <c r="D161" s="6" t="str">
        <f>"300011968"</f>
        <v>300011968</v>
      </c>
      <c r="E161" s="6" t="str">
        <f>"802/2064"</f>
        <v>802/2064</v>
      </c>
      <c r="F161" s="6" t="str">
        <f>"Oddział Chorób Dziecięcych"</f>
        <v>Oddział Chorób Dziecięcych</v>
      </c>
      <c r="G161" s="6" t="str">
        <f t="shared" si="23"/>
        <v>Medima Sp. z o.o.</v>
      </c>
      <c r="H161" s="6">
        <v>2019</v>
      </c>
      <c r="I161" s="6"/>
      <c r="J161" s="18">
        <v>2</v>
      </c>
      <c r="K161" s="19"/>
      <c r="L161" s="19"/>
      <c r="M161" s="19"/>
    </row>
    <row r="162" spans="1:13">
      <c r="A162" s="6">
        <v>158</v>
      </c>
      <c r="B162" s="6" t="str">
        <f t="shared" si="27"/>
        <v>Pompa infuzyjna strzykawkowa</v>
      </c>
      <c r="C162" s="6" t="str">
        <f>"S2"</f>
        <v>S2</v>
      </c>
      <c r="D162" s="6" t="str">
        <f>"12630717"</f>
        <v>12630717</v>
      </c>
      <c r="E162" s="6" t="str">
        <f>"802/1801"</f>
        <v>802/1801</v>
      </c>
      <c r="F162" s="6" t="str">
        <f>"Szpitalny Oddział Ratunkowy"</f>
        <v>Szpitalny Oddział Ratunkowy</v>
      </c>
      <c r="G162" s="6" t="str">
        <f t="shared" si="23"/>
        <v>Medima Sp. z o.o.</v>
      </c>
      <c r="H162" s="6">
        <v>2017</v>
      </c>
      <c r="I162" s="6"/>
      <c r="J162" s="18">
        <v>2</v>
      </c>
      <c r="K162" s="19"/>
      <c r="L162" s="19"/>
      <c r="M162" s="19"/>
    </row>
    <row r="163" spans="1:13">
      <c r="A163" s="6">
        <v>159</v>
      </c>
      <c r="B163" s="6" t="str">
        <f t="shared" si="27"/>
        <v>Pompa infuzyjna strzykawkowa</v>
      </c>
      <c r="C163" s="6" t="str">
        <f>"S2"</f>
        <v>S2</v>
      </c>
      <c r="D163" s="6" t="str">
        <f>"12630817"</f>
        <v>12630817</v>
      </c>
      <c r="E163" s="6" t="str">
        <f>"802/1802"</f>
        <v>802/1802</v>
      </c>
      <c r="F163" s="6" t="str">
        <f>"Szpitalny Oddział Ratunkowy"</f>
        <v>Szpitalny Oddział Ratunkowy</v>
      </c>
      <c r="G163" s="6" t="str">
        <f t="shared" si="23"/>
        <v>Medima Sp. z o.o.</v>
      </c>
      <c r="H163" s="6">
        <v>2017</v>
      </c>
      <c r="I163" s="6"/>
      <c r="J163" s="18">
        <v>2</v>
      </c>
      <c r="K163" s="19"/>
      <c r="L163" s="19"/>
      <c r="M163" s="19"/>
    </row>
    <row r="164" spans="1:13">
      <c r="A164" s="6">
        <v>160</v>
      </c>
      <c r="B164" s="6" t="str">
        <f t="shared" si="27"/>
        <v>Pompa infuzyjna strzykawkowa</v>
      </c>
      <c r="C164" s="6" t="str">
        <f>"S2"</f>
        <v>S2</v>
      </c>
      <c r="D164" s="6" t="str">
        <f>"12630917"</f>
        <v>12630917</v>
      </c>
      <c r="E164" s="6" t="str">
        <f>"802/1803"</f>
        <v>802/1803</v>
      </c>
      <c r="F164" s="6" t="str">
        <f>"Szpitalny Oddział Ratunkowy"</f>
        <v>Szpitalny Oddział Ratunkowy</v>
      </c>
      <c r="G164" s="6" t="str">
        <f t="shared" si="23"/>
        <v>Medima Sp. z o.o.</v>
      </c>
      <c r="H164" s="6">
        <v>2017</v>
      </c>
      <c r="I164" s="6"/>
      <c r="J164" s="18">
        <v>2</v>
      </c>
      <c r="K164" s="19"/>
      <c r="L164" s="19"/>
      <c r="M164" s="19"/>
    </row>
    <row r="165" spans="1:13">
      <c r="A165" s="6">
        <v>161</v>
      </c>
      <c r="B165" s="6" t="str">
        <f t="shared" si="27"/>
        <v>Pompa infuzyjna strzykawkowa</v>
      </c>
      <c r="C165" s="6" t="str">
        <f>"S2"</f>
        <v>S2</v>
      </c>
      <c r="D165" s="6" t="str">
        <f>"12631017"</f>
        <v>12631017</v>
      </c>
      <c r="E165" s="6" t="str">
        <f>"802/1804"</f>
        <v>802/1804</v>
      </c>
      <c r="F165" s="6" t="str">
        <f>"Szpitalny Oddział Ratunkowy"</f>
        <v>Szpitalny Oddział Ratunkowy</v>
      </c>
      <c r="G165" s="6" t="str">
        <f t="shared" si="23"/>
        <v>Medima Sp. z o.o.</v>
      </c>
      <c r="H165" s="6">
        <v>2017</v>
      </c>
      <c r="I165" s="6"/>
      <c r="J165" s="18">
        <v>2</v>
      </c>
      <c r="K165" s="19"/>
      <c r="L165" s="19"/>
      <c r="M165" s="19"/>
    </row>
    <row r="166" spans="1:13">
      <c r="A166" s="6">
        <v>162</v>
      </c>
      <c r="B166" s="6" t="str">
        <f t="shared" ref="B166:B175" si="30">"Pompa infuzyjna objętościowa (perystaltyczna)"</f>
        <v>Pompa infuzyjna objętościowa (perystaltyczna)</v>
      </c>
      <c r="C166" s="6" t="str">
        <f t="shared" ref="C166:C175" si="31">"P300"</f>
        <v>P300</v>
      </c>
      <c r="D166" s="6" t="str">
        <f>"310008583"</f>
        <v>310008583</v>
      </c>
      <c r="E166" s="6" t="str">
        <f>"802/1969"</f>
        <v>802/1969</v>
      </c>
      <c r="F166" s="6" t="str">
        <f>"Blok Operacyjny"</f>
        <v>Blok Operacyjny</v>
      </c>
      <c r="G166" s="6" t="str">
        <f t="shared" si="23"/>
        <v>Medima Sp. z o.o.</v>
      </c>
      <c r="H166" s="6">
        <v>2018</v>
      </c>
      <c r="I166" s="6"/>
      <c r="J166" s="18">
        <v>2</v>
      </c>
      <c r="K166" s="19"/>
      <c r="L166" s="19"/>
      <c r="M166" s="19"/>
    </row>
    <row r="167" spans="1:13">
      <c r="A167" s="6">
        <v>163</v>
      </c>
      <c r="B167" s="6" t="str">
        <f t="shared" si="30"/>
        <v>Pompa infuzyjna objętościowa (perystaltyczna)</v>
      </c>
      <c r="C167" s="6" t="str">
        <f t="shared" si="31"/>
        <v>P300</v>
      </c>
      <c r="D167" s="6" t="str">
        <f>"310008579"</f>
        <v>310008579</v>
      </c>
      <c r="E167" s="6" t="str">
        <f>"802/1968"</f>
        <v>802/1968</v>
      </c>
      <c r="F167" s="6" t="str">
        <f>"Blok Operacyjny"</f>
        <v>Blok Operacyjny</v>
      </c>
      <c r="G167" s="6" t="str">
        <f t="shared" si="23"/>
        <v>Medima Sp. z o.o.</v>
      </c>
      <c r="H167" s="6">
        <v>2018</v>
      </c>
      <c r="I167" s="6"/>
      <c r="J167" s="18">
        <v>2</v>
      </c>
      <c r="K167" s="19"/>
      <c r="L167" s="19"/>
      <c r="M167" s="19"/>
    </row>
    <row r="168" spans="1:13">
      <c r="A168" s="6">
        <v>164</v>
      </c>
      <c r="B168" s="6" t="str">
        <f t="shared" si="30"/>
        <v>Pompa infuzyjna objętościowa (perystaltyczna)</v>
      </c>
      <c r="C168" s="6" t="str">
        <f t="shared" si="31"/>
        <v>P300</v>
      </c>
      <c r="D168" s="6" t="str">
        <f>"310008584"</f>
        <v>310008584</v>
      </c>
      <c r="E168" s="6" t="str">
        <f>"802/1967"</f>
        <v>802/1967</v>
      </c>
      <c r="F168" s="6" t="str">
        <f t="shared" ref="F168:F175" si="32">"Oddział Anestezjologii i Intensywnej Terapii"</f>
        <v>Oddział Anestezjologii i Intensywnej Terapii</v>
      </c>
      <c r="G168" s="6" t="str">
        <f t="shared" si="23"/>
        <v>Medima Sp. z o.o.</v>
      </c>
      <c r="H168" s="6">
        <v>2018</v>
      </c>
      <c r="I168" s="6"/>
      <c r="J168" s="18">
        <v>2</v>
      </c>
      <c r="K168" s="19"/>
      <c r="L168" s="19"/>
      <c r="M168" s="19"/>
    </row>
    <row r="169" spans="1:13">
      <c r="A169" s="6">
        <v>165</v>
      </c>
      <c r="B169" s="6" t="str">
        <f t="shared" si="30"/>
        <v>Pompa infuzyjna objętościowa (perystaltyczna)</v>
      </c>
      <c r="C169" s="6" t="str">
        <f t="shared" si="31"/>
        <v>P300</v>
      </c>
      <c r="D169" s="6" t="str">
        <f>"310008577"</f>
        <v>310008577</v>
      </c>
      <c r="E169" s="6" t="str">
        <f>"802/1966"</f>
        <v>802/1966</v>
      </c>
      <c r="F169" s="6" t="str">
        <f t="shared" si="32"/>
        <v>Oddział Anestezjologii i Intensywnej Terapii</v>
      </c>
      <c r="G169" s="6" t="str">
        <f t="shared" si="23"/>
        <v>Medima Sp. z o.o.</v>
      </c>
      <c r="H169" s="6">
        <v>2018</v>
      </c>
      <c r="I169" s="6"/>
      <c r="J169" s="18">
        <v>2</v>
      </c>
      <c r="K169" s="19"/>
      <c r="L169" s="19"/>
      <c r="M169" s="19"/>
    </row>
    <row r="170" spans="1:13">
      <c r="A170" s="6">
        <v>166</v>
      </c>
      <c r="B170" s="6" t="str">
        <f t="shared" si="30"/>
        <v>Pompa infuzyjna objętościowa (perystaltyczna)</v>
      </c>
      <c r="C170" s="6" t="str">
        <f t="shared" si="31"/>
        <v>P300</v>
      </c>
      <c r="D170" s="6" t="str">
        <f>"310008578"</f>
        <v>310008578</v>
      </c>
      <c r="E170" s="6" t="str">
        <f>"802/1965"</f>
        <v>802/1965</v>
      </c>
      <c r="F170" s="6" t="str">
        <f t="shared" si="32"/>
        <v>Oddział Anestezjologii i Intensywnej Terapii</v>
      </c>
      <c r="G170" s="6" t="str">
        <f t="shared" si="23"/>
        <v>Medima Sp. z o.o.</v>
      </c>
      <c r="H170" s="6">
        <v>2018</v>
      </c>
      <c r="I170" s="6"/>
      <c r="J170" s="18">
        <v>2</v>
      </c>
      <c r="K170" s="19"/>
      <c r="L170" s="19"/>
      <c r="M170" s="19"/>
    </row>
    <row r="171" spans="1:13">
      <c r="A171" s="6">
        <v>167</v>
      </c>
      <c r="B171" s="6" t="str">
        <f t="shared" si="30"/>
        <v>Pompa infuzyjna objętościowa (perystaltyczna)</v>
      </c>
      <c r="C171" s="6" t="str">
        <f t="shared" si="31"/>
        <v>P300</v>
      </c>
      <c r="D171" s="6" t="str">
        <f>"310008585"</f>
        <v>310008585</v>
      </c>
      <c r="E171" s="6" t="str">
        <f>"802/1964"</f>
        <v>802/1964</v>
      </c>
      <c r="F171" s="6" t="str">
        <f t="shared" si="32"/>
        <v>Oddział Anestezjologii i Intensywnej Terapii</v>
      </c>
      <c r="G171" s="6" t="str">
        <f t="shared" si="23"/>
        <v>Medima Sp. z o.o.</v>
      </c>
      <c r="H171" s="6">
        <v>2018</v>
      </c>
      <c r="I171" s="6"/>
      <c r="J171" s="18">
        <v>2</v>
      </c>
      <c r="K171" s="19"/>
      <c r="L171" s="19"/>
      <c r="M171" s="19"/>
    </row>
    <row r="172" spans="1:13">
      <c r="A172" s="6">
        <v>168</v>
      </c>
      <c r="B172" s="6" t="str">
        <f t="shared" si="30"/>
        <v>Pompa infuzyjna objętościowa (perystaltyczna)</v>
      </c>
      <c r="C172" s="6" t="str">
        <f t="shared" si="31"/>
        <v>P300</v>
      </c>
      <c r="D172" s="6" t="str">
        <f>"310008580"</f>
        <v>310008580</v>
      </c>
      <c r="E172" s="6" t="str">
        <f>"802/1963"</f>
        <v>802/1963</v>
      </c>
      <c r="F172" s="6" t="str">
        <f t="shared" si="32"/>
        <v>Oddział Anestezjologii i Intensywnej Terapii</v>
      </c>
      <c r="G172" s="6" t="str">
        <f t="shared" si="23"/>
        <v>Medima Sp. z o.o.</v>
      </c>
      <c r="H172" s="6">
        <v>2018</v>
      </c>
      <c r="I172" s="6"/>
      <c r="J172" s="18">
        <v>2</v>
      </c>
      <c r="K172" s="19"/>
      <c r="L172" s="19"/>
      <c r="M172" s="19"/>
    </row>
    <row r="173" spans="1:13">
      <c r="A173" s="6">
        <v>169</v>
      </c>
      <c r="B173" s="6" t="str">
        <f t="shared" si="30"/>
        <v>Pompa infuzyjna objętościowa (perystaltyczna)</v>
      </c>
      <c r="C173" s="6" t="str">
        <f t="shared" si="31"/>
        <v>P300</v>
      </c>
      <c r="D173" s="6" t="str">
        <f>"310008586"</f>
        <v>310008586</v>
      </c>
      <c r="E173" s="6" t="str">
        <f>"802/1962"</f>
        <v>802/1962</v>
      </c>
      <c r="F173" s="6" t="str">
        <f t="shared" si="32"/>
        <v>Oddział Anestezjologii i Intensywnej Terapii</v>
      </c>
      <c r="G173" s="6" t="str">
        <f t="shared" si="23"/>
        <v>Medima Sp. z o.o.</v>
      </c>
      <c r="H173" s="6">
        <v>2018</v>
      </c>
      <c r="I173" s="6"/>
      <c r="J173" s="18">
        <v>2</v>
      </c>
      <c r="K173" s="19"/>
      <c r="L173" s="19"/>
      <c r="M173" s="19"/>
    </row>
    <row r="174" spans="1:13">
      <c r="A174" s="6">
        <v>170</v>
      </c>
      <c r="B174" s="6" t="str">
        <f t="shared" si="30"/>
        <v>Pompa infuzyjna objętościowa (perystaltyczna)</v>
      </c>
      <c r="C174" s="6" t="str">
        <f t="shared" si="31"/>
        <v>P300</v>
      </c>
      <c r="D174" s="6" t="str">
        <f>"310008582"</f>
        <v>310008582</v>
      </c>
      <c r="E174" s="6" t="str">
        <f>"802/1961"</f>
        <v>802/1961</v>
      </c>
      <c r="F174" s="6" t="str">
        <f t="shared" si="32"/>
        <v>Oddział Anestezjologii i Intensywnej Terapii</v>
      </c>
      <c r="G174" s="6" t="str">
        <f t="shared" si="23"/>
        <v>Medima Sp. z o.o.</v>
      </c>
      <c r="H174" s="6">
        <v>2018</v>
      </c>
      <c r="I174" s="6"/>
      <c r="J174" s="18">
        <v>2</v>
      </c>
      <c r="K174" s="19"/>
      <c r="L174" s="19"/>
      <c r="M174" s="19"/>
    </row>
    <row r="175" spans="1:13">
      <c r="A175" s="6">
        <v>171</v>
      </c>
      <c r="B175" s="6" t="str">
        <f t="shared" si="30"/>
        <v>Pompa infuzyjna objętościowa (perystaltyczna)</v>
      </c>
      <c r="C175" s="6" t="str">
        <f t="shared" si="31"/>
        <v>P300</v>
      </c>
      <c r="D175" s="6" t="str">
        <f>"310008581"</f>
        <v>310008581</v>
      </c>
      <c r="E175" s="6" t="str">
        <f>"802/1960"</f>
        <v>802/1960</v>
      </c>
      <c r="F175" s="6" t="str">
        <f t="shared" si="32"/>
        <v>Oddział Anestezjologii i Intensywnej Terapii</v>
      </c>
      <c r="G175" s="6" t="str">
        <f t="shared" si="23"/>
        <v>Medima Sp. z o.o.</v>
      </c>
      <c r="H175" s="6">
        <v>2018</v>
      </c>
      <c r="I175" s="6"/>
      <c r="J175" s="18">
        <v>2</v>
      </c>
      <c r="K175" s="19"/>
      <c r="L175" s="19"/>
      <c r="M175" s="19"/>
    </row>
    <row r="176" spans="1:13">
      <c r="A176" s="6">
        <v>172</v>
      </c>
      <c r="B176" s="6" t="str">
        <f t="shared" ref="B176:B204" si="33">"Pompa infuzyjna strzykawkowa"</f>
        <v>Pompa infuzyjna strzykawkowa</v>
      </c>
      <c r="C176" s="6" t="str">
        <f t="shared" ref="C176:C204" si="34">"S300"</f>
        <v>S300</v>
      </c>
      <c r="D176" s="6" t="str">
        <f>"300008716"</f>
        <v>300008716</v>
      </c>
      <c r="E176" s="6" t="str">
        <f>"802/1959"</f>
        <v>802/1959</v>
      </c>
      <c r="F176" s="6" t="str">
        <f>"Blok Operacyjny"</f>
        <v>Blok Operacyjny</v>
      </c>
      <c r="G176" s="6" t="str">
        <f t="shared" si="23"/>
        <v>Medima Sp. z o.o.</v>
      </c>
      <c r="H176" s="6">
        <v>2018</v>
      </c>
      <c r="I176" s="6"/>
      <c r="J176" s="18">
        <v>2</v>
      </c>
      <c r="K176" s="19"/>
      <c r="L176" s="19"/>
      <c r="M176" s="19"/>
    </row>
    <row r="177" spans="1:13">
      <c r="A177" s="6">
        <v>173</v>
      </c>
      <c r="B177" s="6" t="str">
        <f t="shared" si="33"/>
        <v>Pompa infuzyjna strzykawkowa</v>
      </c>
      <c r="C177" s="6" t="str">
        <f t="shared" si="34"/>
        <v>S300</v>
      </c>
      <c r="D177" s="6" t="str">
        <f>"300008717"</f>
        <v>300008717</v>
      </c>
      <c r="E177" s="6" t="str">
        <f>"802/1958"</f>
        <v>802/1958</v>
      </c>
      <c r="F177" s="6" t="str">
        <f>"Blok Operacyjny"</f>
        <v>Blok Operacyjny</v>
      </c>
      <c r="G177" s="6" t="str">
        <f t="shared" si="23"/>
        <v>Medima Sp. z o.o.</v>
      </c>
      <c r="H177" s="6">
        <v>2018</v>
      </c>
      <c r="I177" s="6"/>
      <c r="J177" s="18">
        <v>2</v>
      </c>
      <c r="K177" s="19"/>
      <c r="L177" s="19"/>
      <c r="M177" s="19"/>
    </row>
    <row r="178" spans="1:13">
      <c r="A178" s="6">
        <v>174</v>
      </c>
      <c r="B178" s="6" t="str">
        <f t="shared" si="33"/>
        <v>Pompa infuzyjna strzykawkowa</v>
      </c>
      <c r="C178" s="6" t="str">
        <f t="shared" si="34"/>
        <v>S300</v>
      </c>
      <c r="D178" s="6" t="str">
        <f>"300008718"</f>
        <v>300008718</v>
      </c>
      <c r="E178" s="6" t="str">
        <f>"802/1957"</f>
        <v>802/1957</v>
      </c>
      <c r="F178" s="6" t="str">
        <f>"Blok Operacyjny"</f>
        <v>Blok Operacyjny</v>
      </c>
      <c r="G178" s="6" t="str">
        <f t="shared" si="23"/>
        <v>Medima Sp. z o.o.</v>
      </c>
      <c r="H178" s="6">
        <v>2018</v>
      </c>
      <c r="I178" s="6"/>
      <c r="J178" s="18">
        <v>2</v>
      </c>
      <c r="K178" s="19"/>
      <c r="L178" s="19"/>
      <c r="M178" s="19"/>
    </row>
    <row r="179" spans="1:13">
      <c r="A179" s="6">
        <v>175</v>
      </c>
      <c r="B179" s="6" t="str">
        <f t="shared" si="33"/>
        <v>Pompa infuzyjna strzykawkowa</v>
      </c>
      <c r="C179" s="6" t="str">
        <f t="shared" si="34"/>
        <v>S300</v>
      </c>
      <c r="D179" s="6" t="str">
        <f>"300008726"</f>
        <v>300008726</v>
      </c>
      <c r="E179" s="6" t="str">
        <f>"802/1956"</f>
        <v>802/1956</v>
      </c>
      <c r="F179" s="6" t="str">
        <f>"Blok Operacyjny"</f>
        <v>Blok Operacyjny</v>
      </c>
      <c r="G179" s="6" t="str">
        <f t="shared" si="23"/>
        <v>Medima Sp. z o.o.</v>
      </c>
      <c r="H179" s="6">
        <v>2018</v>
      </c>
      <c r="I179" s="6"/>
      <c r="J179" s="18">
        <v>2</v>
      </c>
      <c r="K179" s="19"/>
      <c r="L179" s="19"/>
      <c r="M179" s="19"/>
    </row>
    <row r="180" spans="1:13">
      <c r="A180" s="6">
        <v>176</v>
      </c>
      <c r="B180" s="6" t="str">
        <f t="shared" si="33"/>
        <v>Pompa infuzyjna strzykawkowa</v>
      </c>
      <c r="C180" s="6" t="str">
        <f t="shared" si="34"/>
        <v>S300</v>
      </c>
      <c r="D180" s="6" t="str">
        <f>"300008710"</f>
        <v>300008710</v>
      </c>
      <c r="E180" s="6" t="str">
        <f>"802/1941"</f>
        <v>802/1941</v>
      </c>
      <c r="F180" s="6" t="str">
        <f t="shared" ref="F180:F194" si="35">"Oddział Anestezjologii i Intensywnej Terapii"</f>
        <v>Oddział Anestezjologii i Intensywnej Terapii</v>
      </c>
      <c r="G180" s="6" t="str">
        <f t="shared" si="23"/>
        <v>Medima Sp. z o.o.</v>
      </c>
      <c r="H180" s="6">
        <v>2018</v>
      </c>
      <c r="I180" s="6"/>
      <c r="J180" s="18">
        <v>2</v>
      </c>
      <c r="K180" s="19"/>
      <c r="L180" s="19"/>
      <c r="M180" s="19"/>
    </row>
    <row r="181" spans="1:13">
      <c r="A181" s="6">
        <v>177</v>
      </c>
      <c r="B181" s="6" t="str">
        <f t="shared" si="33"/>
        <v>Pompa infuzyjna strzykawkowa</v>
      </c>
      <c r="C181" s="6" t="str">
        <f t="shared" si="34"/>
        <v>S300</v>
      </c>
      <c r="D181" s="6" t="str">
        <f>"300008711"</f>
        <v>300008711</v>
      </c>
      <c r="E181" s="6" t="str">
        <f>"802/1942"</f>
        <v>802/1942</v>
      </c>
      <c r="F181" s="6" t="str">
        <f t="shared" si="35"/>
        <v>Oddział Anestezjologii i Intensywnej Terapii</v>
      </c>
      <c r="G181" s="6" t="str">
        <f t="shared" si="23"/>
        <v>Medima Sp. z o.o.</v>
      </c>
      <c r="H181" s="6">
        <v>2018</v>
      </c>
      <c r="I181" s="6"/>
      <c r="J181" s="18">
        <v>2</v>
      </c>
      <c r="K181" s="19"/>
      <c r="L181" s="19"/>
      <c r="M181" s="19"/>
    </row>
    <row r="182" spans="1:13">
      <c r="A182" s="6">
        <v>178</v>
      </c>
      <c r="B182" s="6" t="str">
        <f t="shared" si="33"/>
        <v>Pompa infuzyjna strzykawkowa</v>
      </c>
      <c r="C182" s="6" t="str">
        <f t="shared" si="34"/>
        <v>S300</v>
      </c>
      <c r="D182" s="6" t="str">
        <f>"300008712"</f>
        <v>300008712</v>
      </c>
      <c r="E182" s="6" t="str">
        <f>"802/1943"</f>
        <v>802/1943</v>
      </c>
      <c r="F182" s="6" t="str">
        <f t="shared" si="35"/>
        <v>Oddział Anestezjologii i Intensywnej Terapii</v>
      </c>
      <c r="G182" s="6" t="str">
        <f t="shared" si="23"/>
        <v>Medima Sp. z o.o.</v>
      </c>
      <c r="H182" s="6">
        <v>2018</v>
      </c>
      <c r="I182" s="6"/>
      <c r="J182" s="18">
        <v>2</v>
      </c>
      <c r="K182" s="19"/>
      <c r="L182" s="19"/>
      <c r="M182" s="19"/>
    </row>
    <row r="183" spans="1:13">
      <c r="A183" s="6">
        <v>179</v>
      </c>
      <c r="B183" s="6" t="str">
        <f t="shared" si="33"/>
        <v>Pompa infuzyjna strzykawkowa</v>
      </c>
      <c r="C183" s="6" t="str">
        <f t="shared" si="34"/>
        <v>S300</v>
      </c>
      <c r="D183" s="6" t="str">
        <f>"300008714"</f>
        <v>300008714</v>
      </c>
      <c r="E183" s="6" t="str">
        <f>"802/1944"</f>
        <v>802/1944</v>
      </c>
      <c r="F183" s="6" t="str">
        <f t="shared" si="35"/>
        <v>Oddział Anestezjologii i Intensywnej Terapii</v>
      </c>
      <c r="G183" s="6" t="str">
        <f t="shared" si="23"/>
        <v>Medima Sp. z o.o.</v>
      </c>
      <c r="H183" s="6">
        <v>2018</v>
      </c>
      <c r="I183" s="6"/>
      <c r="J183" s="18">
        <v>2</v>
      </c>
      <c r="K183" s="19"/>
      <c r="L183" s="19"/>
      <c r="M183" s="19"/>
    </row>
    <row r="184" spans="1:13">
      <c r="A184" s="6">
        <v>180</v>
      </c>
      <c r="B184" s="6" t="str">
        <f t="shared" si="33"/>
        <v>Pompa infuzyjna strzykawkowa</v>
      </c>
      <c r="C184" s="6" t="str">
        <f t="shared" si="34"/>
        <v>S300</v>
      </c>
      <c r="D184" s="6" t="str">
        <f>"300008715"</f>
        <v>300008715</v>
      </c>
      <c r="E184" s="6" t="str">
        <f>"802/1945"</f>
        <v>802/1945</v>
      </c>
      <c r="F184" s="6" t="str">
        <f t="shared" si="35"/>
        <v>Oddział Anestezjologii i Intensywnej Terapii</v>
      </c>
      <c r="G184" s="6" t="str">
        <f t="shared" si="23"/>
        <v>Medima Sp. z o.o.</v>
      </c>
      <c r="H184" s="6">
        <v>2018</v>
      </c>
      <c r="I184" s="6"/>
      <c r="J184" s="18">
        <v>2</v>
      </c>
      <c r="K184" s="19"/>
      <c r="L184" s="19"/>
      <c r="M184" s="19"/>
    </row>
    <row r="185" spans="1:13">
      <c r="A185" s="6">
        <v>181</v>
      </c>
      <c r="B185" s="6" t="str">
        <f t="shared" si="33"/>
        <v>Pompa infuzyjna strzykawkowa</v>
      </c>
      <c r="C185" s="6" t="str">
        <f t="shared" si="34"/>
        <v>S300</v>
      </c>
      <c r="D185" s="6" t="str">
        <f>"300008722"</f>
        <v>300008722</v>
      </c>
      <c r="E185" s="6" t="str">
        <f>"802/1946"</f>
        <v>802/1946</v>
      </c>
      <c r="F185" s="6" t="str">
        <f t="shared" si="35"/>
        <v>Oddział Anestezjologii i Intensywnej Terapii</v>
      </c>
      <c r="G185" s="6" t="str">
        <f t="shared" si="23"/>
        <v>Medima Sp. z o.o.</v>
      </c>
      <c r="H185" s="6">
        <v>2018</v>
      </c>
      <c r="I185" s="6"/>
      <c r="J185" s="18">
        <v>2</v>
      </c>
      <c r="K185" s="19"/>
      <c r="L185" s="19"/>
      <c r="M185" s="19"/>
    </row>
    <row r="186" spans="1:13">
      <c r="A186" s="6">
        <v>182</v>
      </c>
      <c r="B186" s="6" t="str">
        <f t="shared" si="33"/>
        <v>Pompa infuzyjna strzykawkowa</v>
      </c>
      <c r="C186" s="6" t="str">
        <f t="shared" si="34"/>
        <v>S300</v>
      </c>
      <c r="D186" s="6" t="str">
        <f>"300008721"</f>
        <v>300008721</v>
      </c>
      <c r="E186" s="6" t="str">
        <f>"802/1947"</f>
        <v>802/1947</v>
      </c>
      <c r="F186" s="6" t="str">
        <f t="shared" si="35"/>
        <v>Oddział Anestezjologii i Intensywnej Terapii</v>
      </c>
      <c r="G186" s="6" t="str">
        <f t="shared" si="23"/>
        <v>Medima Sp. z o.o.</v>
      </c>
      <c r="H186" s="6">
        <v>2018</v>
      </c>
      <c r="I186" s="6"/>
      <c r="J186" s="18">
        <v>2</v>
      </c>
      <c r="K186" s="19"/>
      <c r="L186" s="19"/>
      <c r="M186" s="19"/>
    </row>
    <row r="187" spans="1:13">
      <c r="A187" s="6">
        <v>183</v>
      </c>
      <c r="B187" s="6" t="str">
        <f t="shared" si="33"/>
        <v>Pompa infuzyjna strzykawkowa</v>
      </c>
      <c r="C187" s="6" t="str">
        <f t="shared" si="34"/>
        <v>S300</v>
      </c>
      <c r="D187" s="6" t="str">
        <f>"300008728"</f>
        <v>300008728</v>
      </c>
      <c r="E187" s="6" t="str">
        <f>"802/1948"</f>
        <v>802/1948</v>
      </c>
      <c r="F187" s="6" t="str">
        <f t="shared" si="35"/>
        <v>Oddział Anestezjologii i Intensywnej Terapii</v>
      </c>
      <c r="G187" s="6" t="str">
        <f t="shared" si="23"/>
        <v>Medima Sp. z o.o.</v>
      </c>
      <c r="H187" s="6">
        <v>2018</v>
      </c>
      <c r="I187" s="6"/>
      <c r="J187" s="18">
        <v>2</v>
      </c>
      <c r="K187" s="19"/>
      <c r="L187" s="19"/>
      <c r="M187" s="19"/>
    </row>
    <row r="188" spans="1:13">
      <c r="A188" s="6">
        <v>184</v>
      </c>
      <c r="B188" s="6" t="str">
        <f t="shared" si="33"/>
        <v>Pompa infuzyjna strzykawkowa</v>
      </c>
      <c r="C188" s="6" t="str">
        <f t="shared" si="34"/>
        <v>S300</v>
      </c>
      <c r="D188" s="6" t="str">
        <f>"300008724"</f>
        <v>300008724</v>
      </c>
      <c r="E188" s="6" t="str">
        <f>"802/1949"</f>
        <v>802/1949</v>
      </c>
      <c r="F188" s="6" t="str">
        <f t="shared" si="35"/>
        <v>Oddział Anestezjologii i Intensywnej Terapii</v>
      </c>
      <c r="G188" s="6" t="str">
        <f t="shared" si="23"/>
        <v>Medima Sp. z o.o.</v>
      </c>
      <c r="H188" s="6">
        <v>2018</v>
      </c>
      <c r="I188" s="6"/>
      <c r="J188" s="18">
        <v>2</v>
      </c>
      <c r="K188" s="19"/>
      <c r="L188" s="19"/>
      <c r="M188" s="19"/>
    </row>
    <row r="189" spans="1:13">
      <c r="A189" s="6">
        <v>185</v>
      </c>
      <c r="B189" s="6" t="str">
        <f t="shared" si="33"/>
        <v>Pompa infuzyjna strzykawkowa</v>
      </c>
      <c r="C189" s="6" t="str">
        <f t="shared" si="34"/>
        <v>S300</v>
      </c>
      <c r="D189" s="6" t="str">
        <f>"300008725"</f>
        <v>300008725</v>
      </c>
      <c r="E189" s="6" t="str">
        <f>"802/1950"</f>
        <v>802/1950</v>
      </c>
      <c r="F189" s="6" t="str">
        <f t="shared" si="35"/>
        <v>Oddział Anestezjologii i Intensywnej Terapii</v>
      </c>
      <c r="G189" s="6" t="str">
        <f t="shared" si="23"/>
        <v>Medima Sp. z o.o.</v>
      </c>
      <c r="H189" s="6">
        <v>2018</v>
      </c>
      <c r="I189" s="6"/>
      <c r="J189" s="18">
        <v>2</v>
      </c>
      <c r="K189" s="19"/>
      <c r="L189" s="19"/>
      <c r="M189" s="19"/>
    </row>
    <row r="190" spans="1:13">
      <c r="A190" s="6">
        <v>186</v>
      </c>
      <c r="B190" s="6" t="str">
        <f t="shared" si="33"/>
        <v>Pompa infuzyjna strzykawkowa</v>
      </c>
      <c r="C190" s="6" t="str">
        <f t="shared" si="34"/>
        <v>S300</v>
      </c>
      <c r="D190" s="6" t="str">
        <f>"300008727"</f>
        <v>300008727</v>
      </c>
      <c r="E190" s="6" t="str">
        <f>"802/1951"</f>
        <v>802/1951</v>
      </c>
      <c r="F190" s="6" t="str">
        <f t="shared" si="35"/>
        <v>Oddział Anestezjologii i Intensywnej Terapii</v>
      </c>
      <c r="G190" s="6" t="str">
        <f t="shared" si="23"/>
        <v>Medima Sp. z o.o.</v>
      </c>
      <c r="H190" s="6">
        <v>2018</v>
      </c>
      <c r="I190" s="6"/>
      <c r="J190" s="18">
        <v>2</v>
      </c>
      <c r="K190" s="19"/>
      <c r="L190" s="19"/>
      <c r="M190" s="19"/>
    </row>
    <row r="191" spans="1:13">
      <c r="A191" s="6">
        <v>187</v>
      </c>
      <c r="B191" s="6" t="str">
        <f t="shared" si="33"/>
        <v>Pompa infuzyjna strzykawkowa</v>
      </c>
      <c r="C191" s="6" t="str">
        <f t="shared" si="34"/>
        <v>S300</v>
      </c>
      <c r="D191" s="6" t="str">
        <f>"300008713"</f>
        <v>300008713</v>
      </c>
      <c r="E191" s="6" t="str">
        <f>"802/1952"</f>
        <v>802/1952</v>
      </c>
      <c r="F191" s="6" t="str">
        <f t="shared" si="35"/>
        <v>Oddział Anestezjologii i Intensywnej Terapii</v>
      </c>
      <c r="G191" s="6" t="str">
        <f t="shared" si="23"/>
        <v>Medima Sp. z o.o.</v>
      </c>
      <c r="H191" s="6">
        <v>2018</v>
      </c>
      <c r="I191" s="6"/>
      <c r="J191" s="18">
        <v>2</v>
      </c>
      <c r="K191" s="19"/>
      <c r="L191" s="19"/>
      <c r="M191" s="19"/>
    </row>
    <row r="192" spans="1:13">
      <c r="A192" s="6">
        <v>188</v>
      </c>
      <c r="B192" s="6" t="str">
        <f t="shared" si="33"/>
        <v>Pompa infuzyjna strzykawkowa</v>
      </c>
      <c r="C192" s="6" t="str">
        <f t="shared" si="34"/>
        <v>S300</v>
      </c>
      <c r="D192" s="6" t="str">
        <f>"300008719"</f>
        <v>300008719</v>
      </c>
      <c r="E192" s="6" t="str">
        <f>"802/1953"</f>
        <v>802/1953</v>
      </c>
      <c r="F192" s="6" t="str">
        <f t="shared" si="35"/>
        <v>Oddział Anestezjologii i Intensywnej Terapii</v>
      </c>
      <c r="G192" s="6" t="str">
        <f t="shared" si="23"/>
        <v>Medima Sp. z o.o.</v>
      </c>
      <c r="H192" s="6">
        <v>2018</v>
      </c>
      <c r="I192" s="6"/>
      <c r="J192" s="18">
        <v>2</v>
      </c>
      <c r="K192" s="19"/>
      <c r="L192" s="19"/>
      <c r="M192" s="19"/>
    </row>
    <row r="193" spans="1:13">
      <c r="A193" s="6">
        <v>189</v>
      </c>
      <c r="B193" s="6" t="str">
        <f t="shared" si="33"/>
        <v>Pompa infuzyjna strzykawkowa</v>
      </c>
      <c r="C193" s="6" t="str">
        <f t="shared" si="34"/>
        <v>S300</v>
      </c>
      <c r="D193" s="6" t="str">
        <f>"300008720"</f>
        <v>300008720</v>
      </c>
      <c r="E193" s="6" t="str">
        <f>"802/1954"</f>
        <v>802/1954</v>
      </c>
      <c r="F193" s="6" t="str">
        <f t="shared" si="35"/>
        <v>Oddział Anestezjologii i Intensywnej Terapii</v>
      </c>
      <c r="G193" s="6" t="str">
        <f t="shared" si="23"/>
        <v>Medima Sp. z o.o.</v>
      </c>
      <c r="H193" s="6">
        <v>2018</v>
      </c>
      <c r="I193" s="6"/>
      <c r="J193" s="18">
        <v>2</v>
      </c>
      <c r="K193" s="19"/>
      <c r="L193" s="19"/>
      <c r="M193" s="19"/>
    </row>
    <row r="194" spans="1:13">
      <c r="A194" s="6">
        <v>190</v>
      </c>
      <c r="B194" s="6" t="str">
        <f t="shared" si="33"/>
        <v>Pompa infuzyjna strzykawkowa</v>
      </c>
      <c r="C194" s="6" t="str">
        <f t="shared" si="34"/>
        <v>S300</v>
      </c>
      <c r="D194" s="6" t="str">
        <f>"300008723"</f>
        <v>300008723</v>
      </c>
      <c r="E194" s="6" t="str">
        <f>"802/1955"</f>
        <v>802/1955</v>
      </c>
      <c r="F194" s="6" t="str">
        <f t="shared" si="35"/>
        <v>Oddział Anestezjologii i Intensywnej Terapii</v>
      </c>
      <c r="G194" s="6" t="str">
        <f t="shared" si="23"/>
        <v>Medima Sp. z o.o.</v>
      </c>
      <c r="H194" s="6">
        <v>2018</v>
      </c>
      <c r="I194" s="6"/>
      <c r="J194" s="18">
        <v>2</v>
      </c>
      <c r="K194" s="19"/>
      <c r="L194" s="19"/>
      <c r="M194" s="19"/>
    </row>
    <row r="195" spans="1:13">
      <c r="A195" s="6">
        <v>191</v>
      </c>
      <c r="B195" s="6" t="str">
        <f t="shared" si="33"/>
        <v>Pompa infuzyjna strzykawkowa</v>
      </c>
      <c r="C195" s="6" t="str">
        <f t="shared" si="34"/>
        <v>S300</v>
      </c>
      <c r="D195" s="6" t="str">
        <f>"300008732"</f>
        <v>300008732</v>
      </c>
      <c r="E195" s="6" t="str">
        <f>"802/1973"</f>
        <v>802/1973</v>
      </c>
      <c r="F195" s="6" t="str">
        <f>"Oddział Chorób Wewnętrznych II ''A''"</f>
        <v>Oddział Chorób Wewnętrznych II ''A''</v>
      </c>
      <c r="G195" s="6" t="str">
        <f t="shared" si="23"/>
        <v>Medima Sp. z o.o.</v>
      </c>
      <c r="H195" s="6">
        <v>2018</v>
      </c>
      <c r="I195" s="6" t="s">
        <v>23</v>
      </c>
      <c r="J195" s="18">
        <v>2</v>
      </c>
      <c r="K195" s="19"/>
      <c r="L195" s="19"/>
      <c r="M195" s="19"/>
    </row>
    <row r="196" spans="1:13">
      <c r="A196" s="6">
        <v>192</v>
      </c>
      <c r="B196" s="6" t="str">
        <f t="shared" si="33"/>
        <v>Pompa infuzyjna strzykawkowa</v>
      </c>
      <c r="C196" s="6" t="str">
        <f t="shared" si="34"/>
        <v>S300</v>
      </c>
      <c r="D196" s="6" t="str">
        <f>"300008731"</f>
        <v>300008731</v>
      </c>
      <c r="E196" s="6" t="str">
        <f>"802/1972"</f>
        <v>802/1972</v>
      </c>
      <c r="F196" s="6" t="str">
        <f>"Oddział Chorób Wewnętrznych II ''A''"</f>
        <v>Oddział Chorób Wewnętrznych II ''A''</v>
      </c>
      <c r="G196" s="6" t="str">
        <f t="shared" si="23"/>
        <v>Medima Sp. z o.o.</v>
      </c>
      <c r="H196" s="6">
        <v>2018</v>
      </c>
      <c r="I196" s="6" t="s">
        <v>23</v>
      </c>
      <c r="J196" s="18">
        <v>2</v>
      </c>
      <c r="K196" s="19"/>
      <c r="L196" s="19"/>
      <c r="M196" s="19"/>
    </row>
    <row r="197" spans="1:13">
      <c r="A197" s="6">
        <v>193</v>
      </c>
      <c r="B197" s="6" t="str">
        <f t="shared" si="33"/>
        <v>Pompa infuzyjna strzykawkowa</v>
      </c>
      <c r="C197" s="6" t="str">
        <f t="shared" si="34"/>
        <v>S300</v>
      </c>
      <c r="D197" s="6" t="str">
        <f>"300008730"</f>
        <v>300008730</v>
      </c>
      <c r="E197" s="6" t="str">
        <f>"802/1971"</f>
        <v>802/1971</v>
      </c>
      <c r="F197" s="6" t="str">
        <f>"Oddział Chorób Wewnętrznych II ''A''"</f>
        <v>Oddział Chorób Wewnętrznych II ''A''</v>
      </c>
      <c r="G197" s="6" t="str">
        <f t="shared" ref="G197:G214" si="36">"Medima Sp. z o.o."</f>
        <v>Medima Sp. z o.o.</v>
      </c>
      <c r="H197" s="6">
        <v>2018</v>
      </c>
      <c r="I197" s="6" t="s">
        <v>23</v>
      </c>
      <c r="J197" s="18">
        <v>2</v>
      </c>
      <c r="K197" s="19"/>
      <c r="L197" s="19"/>
      <c r="M197" s="19"/>
    </row>
    <row r="198" spans="1:13">
      <c r="A198" s="6">
        <v>194</v>
      </c>
      <c r="B198" s="6" t="str">
        <f t="shared" si="33"/>
        <v>Pompa infuzyjna strzykawkowa</v>
      </c>
      <c r="C198" s="6" t="str">
        <f t="shared" si="34"/>
        <v>S300</v>
      </c>
      <c r="D198" s="6" t="str">
        <f>"300008729"</f>
        <v>300008729</v>
      </c>
      <c r="E198" s="6" t="str">
        <f>"802/1970"</f>
        <v>802/1970</v>
      </c>
      <c r="F198" s="6" t="str">
        <f>"Oddział Chorób Wewnętrznych II ''A''"</f>
        <v>Oddział Chorób Wewnętrznych II ''A''</v>
      </c>
      <c r="G198" s="6" t="str">
        <f t="shared" si="36"/>
        <v>Medima Sp. z o.o.</v>
      </c>
      <c r="H198" s="6">
        <v>2018</v>
      </c>
      <c r="I198" s="6" t="s">
        <v>23</v>
      </c>
      <c r="J198" s="18">
        <v>2</v>
      </c>
      <c r="K198" s="19"/>
      <c r="L198" s="19"/>
      <c r="M198" s="19"/>
    </row>
    <row r="199" spans="1:13">
      <c r="A199" s="6">
        <v>195</v>
      </c>
      <c r="B199" s="6" t="str">
        <f t="shared" si="33"/>
        <v>Pompa infuzyjna strzykawkowa</v>
      </c>
      <c r="C199" s="6" t="str">
        <f t="shared" si="34"/>
        <v>S300</v>
      </c>
      <c r="D199" s="6" t="str">
        <f>"300027040"</f>
        <v>300027040</v>
      </c>
      <c r="E199" s="6" t="str">
        <f>"wyposażenie ambulansu 743/19"</f>
        <v>wyposażenie ambulansu 743/19</v>
      </c>
      <c r="F199" s="6" t="str">
        <f>"Zespół Ratownictwa Medycznego Podstawowy P0224"</f>
        <v>Zespół Ratownictwa Medycznego Podstawowy P0224</v>
      </c>
      <c r="G199" s="6" t="str">
        <f t="shared" si="36"/>
        <v>Medima Sp. z o.o.</v>
      </c>
      <c r="H199" s="6">
        <v>2021</v>
      </c>
      <c r="I199" s="6" t="s">
        <v>23</v>
      </c>
      <c r="J199" s="18">
        <v>2</v>
      </c>
      <c r="K199" s="19"/>
      <c r="L199" s="19"/>
      <c r="M199" s="19"/>
    </row>
    <row r="200" spans="1:13">
      <c r="A200" s="6">
        <v>196</v>
      </c>
      <c r="B200" s="6" t="str">
        <f t="shared" si="33"/>
        <v>Pompa infuzyjna strzykawkowa</v>
      </c>
      <c r="C200" s="6" t="str">
        <f t="shared" si="34"/>
        <v>S300</v>
      </c>
      <c r="D200" s="6" t="str">
        <f>"300028429"</f>
        <v>300028429</v>
      </c>
      <c r="E200" s="6" t="str">
        <f>"wyposażenie karetki"</f>
        <v>wyposażenie karetki</v>
      </c>
      <c r="F200" s="6" t="str">
        <f>"Zespół Ratownictwa Medycznego Podstawowy P0218"</f>
        <v>Zespół Ratownictwa Medycznego Podstawowy P0218</v>
      </c>
      <c r="G200" s="6" t="str">
        <f t="shared" si="36"/>
        <v>Medima Sp. z o.o.</v>
      </c>
      <c r="H200" s="6">
        <v>2021</v>
      </c>
      <c r="I200" s="6" t="s">
        <v>23</v>
      </c>
      <c r="J200" s="18">
        <v>2</v>
      </c>
      <c r="K200" s="19"/>
      <c r="L200" s="19"/>
      <c r="M200" s="19"/>
    </row>
    <row r="201" spans="1:13">
      <c r="A201" s="6">
        <v>197</v>
      </c>
      <c r="B201" s="6" t="str">
        <f t="shared" si="33"/>
        <v>Pompa infuzyjna strzykawkowa</v>
      </c>
      <c r="C201" s="6" t="str">
        <f t="shared" si="34"/>
        <v>S300</v>
      </c>
      <c r="D201" s="6" t="str">
        <f>"300028428"</f>
        <v>300028428</v>
      </c>
      <c r="E201" s="6" t="str">
        <f>"wyposażenie karetki"</f>
        <v>wyposażenie karetki</v>
      </c>
      <c r="F201" s="6" t="str">
        <f>"Zespół Ratownictwa Medycznego Podstawowy P0222"</f>
        <v>Zespół Ratownictwa Medycznego Podstawowy P0222</v>
      </c>
      <c r="G201" s="6" t="str">
        <f t="shared" si="36"/>
        <v>Medima Sp. z o.o.</v>
      </c>
      <c r="H201" s="6">
        <v>2021</v>
      </c>
      <c r="I201" s="6" t="s">
        <v>23</v>
      </c>
      <c r="J201" s="18">
        <v>2</v>
      </c>
      <c r="K201" s="19"/>
      <c r="L201" s="19"/>
      <c r="M201" s="19"/>
    </row>
    <row r="202" spans="1:13">
      <c r="A202" s="6">
        <v>198</v>
      </c>
      <c r="B202" s="6" t="str">
        <f t="shared" si="33"/>
        <v>Pompa infuzyjna strzykawkowa</v>
      </c>
      <c r="C202" s="6" t="str">
        <f t="shared" si="34"/>
        <v>S300</v>
      </c>
      <c r="D202" s="6" t="str">
        <f>"300028430"</f>
        <v>300028430</v>
      </c>
      <c r="E202" s="6" t="str">
        <f>"wyposażenie karetki P01013"</f>
        <v>wyposażenie karetki P01013</v>
      </c>
      <c r="F202" s="6" t="s">
        <v>4</v>
      </c>
      <c r="G202" s="6" t="str">
        <f t="shared" si="36"/>
        <v>Medima Sp. z o.o.</v>
      </c>
      <c r="H202" s="6">
        <v>2021</v>
      </c>
      <c r="I202" s="6" t="s">
        <v>23</v>
      </c>
      <c r="J202" s="18">
        <v>2</v>
      </c>
      <c r="K202" s="19"/>
      <c r="L202" s="19"/>
      <c r="M202" s="19"/>
    </row>
    <row r="203" spans="1:13">
      <c r="A203" s="6">
        <v>199</v>
      </c>
      <c r="B203" s="6" t="str">
        <f t="shared" si="33"/>
        <v>Pompa infuzyjna strzykawkowa</v>
      </c>
      <c r="C203" s="6" t="str">
        <f t="shared" si="34"/>
        <v>S300</v>
      </c>
      <c r="D203" s="6" t="str">
        <f>"300034960"</f>
        <v>300034960</v>
      </c>
      <c r="E203" s="6" t="str">
        <f>"802/2590"</f>
        <v>802/2590</v>
      </c>
      <c r="F203" s="6" t="str">
        <f>"Oddział Chorób Dziecięcych"</f>
        <v>Oddział Chorób Dziecięcych</v>
      </c>
      <c r="G203" s="6" t="str">
        <f t="shared" si="36"/>
        <v>Medima Sp. z o.o.</v>
      </c>
      <c r="H203" s="6">
        <v>2023</v>
      </c>
      <c r="I203" s="6" t="str">
        <f>"2025-08-16"</f>
        <v>2025-08-16</v>
      </c>
      <c r="J203" s="18">
        <v>1</v>
      </c>
      <c r="K203" s="19"/>
      <c r="L203" s="19"/>
      <c r="M203" s="19"/>
    </row>
    <row r="204" spans="1:13">
      <c r="A204" s="6">
        <v>200</v>
      </c>
      <c r="B204" s="6" t="str">
        <f t="shared" si="33"/>
        <v>Pompa infuzyjna strzykawkowa</v>
      </c>
      <c r="C204" s="6" t="str">
        <f t="shared" si="34"/>
        <v>S300</v>
      </c>
      <c r="D204" s="6" t="str">
        <f>"300034959"</f>
        <v>300034959</v>
      </c>
      <c r="E204" s="6" t="str">
        <f>"802/2589"</f>
        <v>802/2589</v>
      </c>
      <c r="F204" s="6" t="str">
        <f>"Oddział Chorób Dziecięcych"</f>
        <v>Oddział Chorób Dziecięcych</v>
      </c>
      <c r="G204" s="6" t="str">
        <f t="shared" si="36"/>
        <v>Medima Sp. z o.o.</v>
      </c>
      <c r="H204" s="6">
        <v>2023</v>
      </c>
      <c r="I204" s="6" t="str">
        <f>"2025-08-16"</f>
        <v>2025-08-16</v>
      </c>
      <c r="J204" s="18">
        <v>1</v>
      </c>
      <c r="K204" s="19"/>
      <c r="L204" s="19"/>
      <c r="M204" s="19"/>
    </row>
    <row r="205" spans="1:13">
      <c r="A205" s="6">
        <v>201</v>
      </c>
      <c r="B205" s="6" t="str">
        <f>"Pompa infuzyjna objętościowa (perystaltyczna)"</f>
        <v>Pompa infuzyjna objętościowa (perystaltyczna)</v>
      </c>
      <c r="C205" s="6" t="str">
        <f>"P300"</f>
        <v>P300</v>
      </c>
      <c r="D205" s="6" t="str">
        <f>"310025392"</f>
        <v>310025392</v>
      </c>
      <c r="E205" s="6" t="str">
        <f>"802/2732"</f>
        <v>802/2732</v>
      </c>
      <c r="F205" s="6" t="str">
        <f>"Oddział Udarowy"</f>
        <v>Oddział Udarowy</v>
      </c>
      <c r="G205" s="6" t="str">
        <f t="shared" si="36"/>
        <v>Medima Sp. z o.o.</v>
      </c>
      <c r="H205" s="6">
        <v>2023</v>
      </c>
      <c r="I205" s="6" t="str">
        <f t="shared" ref="I205:I214" si="37">"2025-11-24"</f>
        <v>2025-11-24</v>
      </c>
      <c r="J205" s="18">
        <v>1</v>
      </c>
      <c r="K205" s="19"/>
      <c r="L205" s="19"/>
      <c r="M205" s="19"/>
    </row>
    <row r="206" spans="1:13">
      <c r="A206" s="6">
        <v>202</v>
      </c>
      <c r="B206" s="6" t="str">
        <f>"Pompa infuzyjna objętościowa (perystaltyczna)"</f>
        <v>Pompa infuzyjna objętościowa (perystaltyczna)</v>
      </c>
      <c r="C206" s="6" t="str">
        <f>"P300"</f>
        <v>P300</v>
      </c>
      <c r="D206" s="6" t="str">
        <f>"310025395"</f>
        <v>310025395</v>
      </c>
      <c r="E206" s="6" t="str">
        <f>"802/2729"</f>
        <v>802/2729</v>
      </c>
      <c r="F206" s="6" t="str">
        <f>"Szpitalny Oddział Ratunkowy"</f>
        <v>Szpitalny Oddział Ratunkowy</v>
      </c>
      <c r="G206" s="6" t="str">
        <f t="shared" si="36"/>
        <v>Medima Sp. z o.o.</v>
      </c>
      <c r="H206" s="6">
        <v>2023</v>
      </c>
      <c r="I206" s="6" t="str">
        <f t="shared" si="37"/>
        <v>2025-11-24</v>
      </c>
      <c r="J206" s="18">
        <v>1</v>
      </c>
      <c r="K206" s="19"/>
      <c r="L206" s="19"/>
      <c r="M206" s="19"/>
    </row>
    <row r="207" spans="1:13">
      <c r="A207" s="6">
        <v>203</v>
      </c>
      <c r="B207" s="6" t="str">
        <f>"Pompa infuzyjna objętościowa (perystaltyczna)"</f>
        <v>Pompa infuzyjna objętościowa (perystaltyczna)</v>
      </c>
      <c r="C207" s="6" t="str">
        <f>"P300"</f>
        <v>P300</v>
      </c>
      <c r="D207" s="6" t="str">
        <f>"310025393"</f>
        <v>310025393</v>
      </c>
      <c r="E207" s="6" t="str">
        <f>"802/2730"</f>
        <v>802/2730</v>
      </c>
      <c r="F207" s="6" t="str">
        <f>"Szpitalny Oddział Ratunkowy"</f>
        <v>Szpitalny Oddział Ratunkowy</v>
      </c>
      <c r="G207" s="6" t="str">
        <f t="shared" si="36"/>
        <v>Medima Sp. z o.o.</v>
      </c>
      <c r="H207" s="6">
        <v>2023</v>
      </c>
      <c r="I207" s="6" t="str">
        <f t="shared" si="37"/>
        <v>2025-11-24</v>
      </c>
      <c r="J207" s="18">
        <v>1</v>
      </c>
      <c r="K207" s="19"/>
      <c r="L207" s="19"/>
      <c r="M207" s="19"/>
    </row>
    <row r="208" spans="1:13">
      <c r="A208" s="6">
        <v>204</v>
      </c>
      <c r="B208" s="6" t="str">
        <f>"Pompa infuzyjna objętościowa (perystaltyczna)"</f>
        <v>Pompa infuzyjna objętościowa (perystaltyczna)</v>
      </c>
      <c r="C208" s="6" t="str">
        <f>"P300"</f>
        <v>P300</v>
      </c>
      <c r="D208" s="6" t="str">
        <f>"310025394"</f>
        <v>310025394</v>
      </c>
      <c r="E208" s="6" t="str">
        <f>"802/2731"</f>
        <v>802/2731</v>
      </c>
      <c r="F208" s="6" t="str">
        <f>"Szpitalny Oddział Ratunkowy"</f>
        <v>Szpitalny Oddział Ratunkowy</v>
      </c>
      <c r="G208" s="6" t="str">
        <f t="shared" si="36"/>
        <v>Medima Sp. z o.o.</v>
      </c>
      <c r="H208" s="6">
        <v>2023</v>
      </c>
      <c r="I208" s="6" t="str">
        <f t="shared" si="37"/>
        <v>2025-11-24</v>
      </c>
      <c r="J208" s="18">
        <v>1</v>
      </c>
      <c r="K208" s="19"/>
      <c r="L208" s="19"/>
      <c r="M208" s="19"/>
    </row>
    <row r="209" spans="1:13">
      <c r="A209" s="6">
        <v>205</v>
      </c>
      <c r="B209" s="6" t="str">
        <f t="shared" ref="B209:B214" si="38">"Pompa infuzyjna strzykawkowa"</f>
        <v>Pompa infuzyjna strzykawkowa</v>
      </c>
      <c r="C209" s="6" t="str">
        <f t="shared" ref="C209:C214" si="39">"S300"</f>
        <v>S300</v>
      </c>
      <c r="D209" s="6" t="str">
        <f>"300037489"</f>
        <v>300037489</v>
      </c>
      <c r="E209" s="6" t="str">
        <f>"802/2733"</f>
        <v>802/2733</v>
      </c>
      <c r="F209" s="6" t="str">
        <f t="shared" ref="F209:F214" si="40">"Oddział Chorób Wewnętrznych II ''B''"</f>
        <v>Oddział Chorób Wewnętrznych II ''B''</v>
      </c>
      <c r="G209" s="6" t="str">
        <f t="shared" si="36"/>
        <v>Medima Sp. z o.o.</v>
      </c>
      <c r="H209" s="6">
        <v>2023</v>
      </c>
      <c r="I209" s="6" t="str">
        <f t="shared" si="37"/>
        <v>2025-11-24</v>
      </c>
      <c r="J209" s="18">
        <v>1</v>
      </c>
      <c r="K209" s="19"/>
      <c r="L209" s="19"/>
      <c r="M209" s="19"/>
    </row>
    <row r="210" spans="1:13">
      <c r="A210" s="6">
        <v>206</v>
      </c>
      <c r="B210" s="6" t="str">
        <f t="shared" si="38"/>
        <v>Pompa infuzyjna strzykawkowa</v>
      </c>
      <c r="C210" s="6" t="str">
        <f t="shared" si="39"/>
        <v>S300</v>
      </c>
      <c r="D210" s="6" t="str">
        <f>"300037490"</f>
        <v>300037490</v>
      </c>
      <c r="E210" s="6" t="str">
        <f>"802/2734"</f>
        <v>802/2734</v>
      </c>
      <c r="F210" s="6" t="str">
        <f t="shared" si="40"/>
        <v>Oddział Chorób Wewnętrznych II ''B''</v>
      </c>
      <c r="G210" s="6" t="str">
        <f t="shared" si="36"/>
        <v>Medima Sp. z o.o.</v>
      </c>
      <c r="H210" s="6">
        <v>2023</v>
      </c>
      <c r="I210" s="6" t="str">
        <f t="shared" si="37"/>
        <v>2025-11-24</v>
      </c>
      <c r="J210" s="18">
        <v>1</v>
      </c>
      <c r="K210" s="19"/>
      <c r="L210" s="19"/>
      <c r="M210" s="19"/>
    </row>
    <row r="211" spans="1:13">
      <c r="A211" s="6">
        <v>207</v>
      </c>
      <c r="B211" s="6" t="str">
        <f t="shared" si="38"/>
        <v>Pompa infuzyjna strzykawkowa</v>
      </c>
      <c r="C211" s="6" t="str">
        <f t="shared" si="39"/>
        <v>S300</v>
      </c>
      <c r="D211" s="6" t="str">
        <f>"300037491"</f>
        <v>300037491</v>
      </c>
      <c r="E211" s="6" t="str">
        <f>"802/2735"</f>
        <v>802/2735</v>
      </c>
      <c r="F211" s="6" t="str">
        <f t="shared" si="40"/>
        <v>Oddział Chorób Wewnętrznych II ''B''</v>
      </c>
      <c r="G211" s="6" t="str">
        <f t="shared" si="36"/>
        <v>Medima Sp. z o.o.</v>
      </c>
      <c r="H211" s="6">
        <v>2023</v>
      </c>
      <c r="I211" s="6" t="str">
        <f t="shared" si="37"/>
        <v>2025-11-24</v>
      </c>
      <c r="J211" s="18">
        <v>1</v>
      </c>
      <c r="K211" s="19"/>
      <c r="L211" s="19"/>
      <c r="M211" s="19"/>
    </row>
    <row r="212" spans="1:13">
      <c r="A212" s="6">
        <v>208</v>
      </c>
      <c r="B212" s="6" t="str">
        <f t="shared" si="38"/>
        <v>Pompa infuzyjna strzykawkowa</v>
      </c>
      <c r="C212" s="6" t="str">
        <f t="shared" si="39"/>
        <v>S300</v>
      </c>
      <c r="D212" s="6" t="str">
        <f>"300037492"</f>
        <v>300037492</v>
      </c>
      <c r="E212" s="6" t="str">
        <f>"802/2736"</f>
        <v>802/2736</v>
      </c>
      <c r="F212" s="6" t="str">
        <f t="shared" si="40"/>
        <v>Oddział Chorób Wewnętrznych II ''B''</v>
      </c>
      <c r="G212" s="6" t="str">
        <f t="shared" si="36"/>
        <v>Medima Sp. z o.o.</v>
      </c>
      <c r="H212" s="6">
        <v>2023</v>
      </c>
      <c r="I212" s="6" t="str">
        <f t="shared" si="37"/>
        <v>2025-11-24</v>
      </c>
      <c r="J212" s="18">
        <v>1</v>
      </c>
      <c r="K212" s="19"/>
      <c r="L212" s="19"/>
      <c r="M212" s="19"/>
    </row>
    <row r="213" spans="1:13">
      <c r="A213" s="6">
        <v>209</v>
      </c>
      <c r="B213" s="6" t="str">
        <f t="shared" si="38"/>
        <v>Pompa infuzyjna strzykawkowa</v>
      </c>
      <c r="C213" s="6" t="str">
        <f t="shared" si="39"/>
        <v>S300</v>
      </c>
      <c r="D213" s="6" t="str">
        <f>"300037493"</f>
        <v>300037493</v>
      </c>
      <c r="E213" s="6" t="str">
        <f>"802/2737"</f>
        <v>802/2737</v>
      </c>
      <c r="F213" s="6" t="str">
        <f t="shared" si="40"/>
        <v>Oddział Chorób Wewnętrznych II ''B''</v>
      </c>
      <c r="G213" s="6" t="str">
        <f t="shared" si="36"/>
        <v>Medima Sp. z o.o.</v>
      </c>
      <c r="H213" s="6">
        <v>2023</v>
      </c>
      <c r="I213" s="6" t="str">
        <f t="shared" si="37"/>
        <v>2025-11-24</v>
      </c>
      <c r="J213" s="18">
        <v>1</v>
      </c>
      <c r="K213" s="19"/>
      <c r="L213" s="19"/>
      <c r="M213" s="19"/>
    </row>
    <row r="214" spans="1:13">
      <c r="A214" s="6">
        <v>210</v>
      </c>
      <c r="B214" s="6" t="str">
        <f t="shared" si="38"/>
        <v>Pompa infuzyjna strzykawkowa</v>
      </c>
      <c r="C214" s="6" t="str">
        <f t="shared" si="39"/>
        <v>S300</v>
      </c>
      <c r="D214" s="6" t="str">
        <f>"300037494"</f>
        <v>300037494</v>
      </c>
      <c r="E214" s="6" t="str">
        <f>"802/2738"</f>
        <v>802/2738</v>
      </c>
      <c r="F214" s="6" t="str">
        <f t="shared" si="40"/>
        <v>Oddział Chorób Wewnętrznych II ''B''</v>
      </c>
      <c r="G214" s="6" t="str">
        <f t="shared" si="36"/>
        <v>Medima Sp. z o.o.</v>
      </c>
      <c r="H214" s="6">
        <v>2023</v>
      </c>
      <c r="I214" s="6" t="str">
        <f t="shared" si="37"/>
        <v>2025-11-24</v>
      </c>
      <c r="J214" s="18">
        <v>1</v>
      </c>
      <c r="K214" s="19"/>
      <c r="L214" s="19"/>
      <c r="M214" s="19"/>
    </row>
    <row r="215" spans="1:13">
      <c r="A215" s="54" t="s">
        <v>6</v>
      </c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20"/>
      <c r="M215" s="20"/>
    </row>
    <row r="217" spans="1:13">
      <c r="A217" s="67" t="s">
        <v>13</v>
      </c>
      <c r="B217" s="68"/>
      <c r="C217" s="68"/>
      <c r="D217" s="68"/>
      <c r="E217" s="68"/>
      <c r="F217" s="68"/>
      <c r="G217" s="68"/>
      <c r="H217" s="69"/>
    </row>
    <row r="218" spans="1:13" ht="18">
      <c r="A218" s="1" t="s">
        <v>7</v>
      </c>
      <c r="B218" s="1" t="s">
        <v>11</v>
      </c>
      <c r="C218" s="9" t="s">
        <v>15</v>
      </c>
      <c r="D218" s="9" t="s">
        <v>19</v>
      </c>
      <c r="E218" s="9" t="s">
        <v>18</v>
      </c>
      <c r="F218" s="9" t="s">
        <v>3</v>
      </c>
      <c r="G218" s="9" t="s">
        <v>10</v>
      </c>
      <c r="H218" s="9" t="s">
        <v>5</v>
      </c>
    </row>
    <row r="219" spans="1:13">
      <c r="A219" s="1">
        <v>1</v>
      </c>
      <c r="B219" s="1" t="s">
        <v>12</v>
      </c>
      <c r="C219" s="21" t="s">
        <v>14</v>
      </c>
      <c r="D219" s="3">
        <v>408</v>
      </c>
      <c r="E219" s="2"/>
      <c r="F219" s="2"/>
      <c r="G219" s="10"/>
      <c r="H219" s="2"/>
    </row>
    <row r="220" spans="1:13">
      <c r="A220" s="1"/>
      <c r="B220" s="57" t="s">
        <v>6</v>
      </c>
      <c r="C220" s="57"/>
      <c r="D220" s="57"/>
      <c r="E220" s="57"/>
      <c r="F220" s="11"/>
      <c r="G220" s="11"/>
      <c r="H220" s="11"/>
    </row>
    <row r="221" spans="1:13" ht="22.5">
      <c r="A221" s="14"/>
      <c r="F221" s="24" t="s">
        <v>29</v>
      </c>
      <c r="I221" s="5"/>
      <c r="J221"/>
    </row>
    <row r="222" spans="1:13" ht="91.5" customHeight="1">
      <c r="A222" s="30"/>
      <c r="B222" s="28" t="s">
        <v>25</v>
      </c>
      <c r="C222" s="28" t="s">
        <v>43</v>
      </c>
      <c r="D222" s="29" t="s">
        <v>30</v>
      </c>
      <c r="E222" s="29" t="s">
        <v>31</v>
      </c>
      <c r="F222" s="29" t="s">
        <v>26</v>
      </c>
      <c r="G222" s="29" t="s">
        <v>27</v>
      </c>
      <c r="H222" s="29" t="s">
        <v>34</v>
      </c>
      <c r="I222" s="29" t="s">
        <v>32</v>
      </c>
      <c r="J222" s="29" t="s">
        <v>33</v>
      </c>
      <c r="K222" s="29" t="s">
        <v>35</v>
      </c>
    </row>
    <row r="223" spans="1:13" ht="15" customHeight="1">
      <c r="A223" s="31">
        <v>1</v>
      </c>
      <c r="B223" s="32">
        <v>2</v>
      </c>
      <c r="C223" s="32">
        <v>3</v>
      </c>
      <c r="D223" s="33">
        <v>4</v>
      </c>
      <c r="E223" s="33">
        <v>5</v>
      </c>
      <c r="F223" s="33">
        <v>6</v>
      </c>
      <c r="G223" s="33">
        <v>7</v>
      </c>
      <c r="H223" s="33">
        <v>8</v>
      </c>
      <c r="I223" s="33">
        <v>9</v>
      </c>
      <c r="J223" s="33">
        <v>10</v>
      </c>
      <c r="K223" s="33">
        <v>11</v>
      </c>
    </row>
    <row r="224" spans="1:13">
      <c r="A224" s="30"/>
      <c r="B224" s="25" t="s">
        <v>28</v>
      </c>
      <c r="C224" s="25">
        <v>8</v>
      </c>
      <c r="D224" s="25"/>
      <c r="E224" s="25"/>
      <c r="F224" s="26"/>
      <c r="G224" s="26"/>
      <c r="H224" s="26"/>
      <c r="I224" s="26"/>
      <c r="J224" s="26"/>
      <c r="K224" s="26"/>
    </row>
    <row r="225" spans="1:11">
      <c r="A225" s="30"/>
      <c r="B225" s="17"/>
      <c r="C225" s="17"/>
      <c r="D225" s="17"/>
      <c r="E225" s="17"/>
      <c r="F225" s="58" t="s">
        <v>36</v>
      </c>
      <c r="G225" s="59"/>
      <c r="H225" s="17"/>
      <c r="I225" s="27" t="s">
        <v>37</v>
      </c>
      <c r="J225" s="17" t="s">
        <v>37</v>
      </c>
      <c r="K225" s="17"/>
    </row>
    <row r="226" spans="1:11">
      <c r="A226" s="14"/>
      <c r="I226" s="5"/>
      <c r="J226"/>
    </row>
    <row r="227" spans="1:11">
      <c r="A227" s="14"/>
      <c r="I227" s="5"/>
      <c r="J227"/>
    </row>
    <row r="228" spans="1:11" ht="18.75">
      <c r="A228" s="14"/>
      <c r="C228" s="52" t="s">
        <v>38</v>
      </c>
      <c r="D228" s="52"/>
      <c r="E228" s="52"/>
      <c r="F228" s="47" t="s">
        <v>40</v>
      </c>
      <c r="G228" s="47" t="s">
        <v>39</v>
      </c>
      <c r="H228" s="35"/>
      <c r="I228" s="36"/>
      <c r="J228" s="35"/>
      <c r="K228" s="35"/>
    </row>
    <row r="229" spans="1:11" ht="18.75">
      <c r="A229" s="14"/>
      <c r="C229" s="52"/>
      <c r="D229" s="52"/>
      <c r="E229" s="52"/>
      <c r="F229" s="48"/>
      <c r="G229" s="48"/>
      <c r="H229" s="35"/>
      <c r="I229" s="36"/>
      <c r="J229" s="35"/>
      <c r="K229" s="35"/>
    </row>
    <row r="230" spans="1:11">
      <c r="A230" s="14"/>
      <c r="I230" s="5"/>
      <c r="J230"/>
    </row>
    <row r="231" spans="1:11" ht="78.75" customHeight="1">
      <c r="A231" s="14"/>
      <c r="G231" s="60" t="s">
        <v>41</v>
      </c>
      <c r="H231" s="60"/>
      <c r="I231" s="60"/>
      <c r="J231" s="60"/>
    </row>
  </sheetData>
  <mergeCells count="8">
    <mergeCell ref="B2:M2"/>
    <mergeCell ref="F225:G225"/>
    <mergeCell ref="C228:E229"/>
    <mergeCell ref="G231:J231"/>
    <mergeCell ref="J3:M3"/>
    <mergeCell ref="A215:K215"/>
    <mergeCell ref="A217:H217"/>
    <mergeCell ref="B220:E220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verticalDpi="0" r:id="rId1"/>
  <headerFooter>
    <oddHeader>&amp;RZałącznik nr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0"/>
  <sheetViews>
    <sheetView showGridLines="0" tabSelected="1" workbookViewId="0">
      <pane ySplit="4" topLeftCell="A5" activePane="bottomLeft" state="frozen"/>
      <selection pane="bottomLeft" activeCell="B2" sqref="B2:N2"/>
    </sheetView>
  </sheetViews>
  <sheetFormatPr defaultColWidth="8.42578125" defaultRowHeight="15"/>
  <cols>
    <col min="2" max="2" width="42.7109375" customWidth="1"/>
    <col min="3" max="3" width="10.7109375" customWidth="1"/>
    <col min="4" max="4" width="11.28515625" customWidth="1"/>
    <col min="5" max="5" width="18.28515625" customWidth="1"/>
    <col min="6" max="6" width="26.42578125" customWidth="1"/>
    <col min="7" max="7" width="25.85546875" customWidth="1"/>
    <col min="8" max="8" width="46.28515625" customWidth="1"/>
    <col min="9" max="9" width="12.7109375" customWidth="1"/>
    <col min="11" max="11" width="11.85546875" customWidth="1"/>
    <col min="13" max="14" width="8.85546875" bestFit="1" customWidth="1"/>
  </cols>
  <sheetData>
    <row r="1" spans="1:14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49.5" customHeight="1">
      <c r="A2" s="6"/>
      <c r="B2" s="70" t="s">
        <v>45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2"/>
    </row>
    <row r="3" spans="1:14">
      <c r="A3" s="73"/>
      <c r="B3" s="73"/>
      <c r="C3" s="73"/>
      <c r="D3" s="73"/>
      <c r="E3" s="73"/>
      <c r="F3" s="73"/>
      <c r="G3" s="73"/>
      <c r="H3" s="73"/>
      <c r="I3" s="73"/>
      <c r="J3" s="73"/>
      <c r="K3" s="55" t="s">
        <v>8</v>
      </c>
      <c r="L3" s="55"/>
      <c r="M3" s="55"/>
      <c r="N3" s="55"/>
    </row>
    <row r="4" spans="1:14" ht="67.5">
      <c r="A4" s="22" t="s">
        <v>7</v>
      </c>
      <c r="B4" s="22" t="str">
        <f>"Nazwa urządzenia"</f>
        <v>Nazwa urządzenia</v>
      </c>
      <c r="C4" s="22" t="str">
        <f>"Typ"</f>
        <v>Typ</v>
      </c>
      <c r="D4" s="22" t="str">
        <f>"Nr ser."</f>
        <v>Nr ser.</v>
      </c>
      <c r="E4" s="22" t="str">
        <f>"Nr inw."</f>
        <v>Nr inw.</v>
      </c>
      <c r="F4" s="22" t="str">
        <f>"D. ost. prz."</f>
        <v>D. ost. prz.</v>
      </c>
      <c r="G4" s="22" t="str">
        <f>"D. nast. prz."</f>
        <v>D. nast. prz.</v>
      </c>
      <c r="H4" s="22" t="str">
        <f>"Komórka organizacyjna"</f>
        <v>Komórka organizacyjna</v>
      </c>
      <c r="I4" s="22" t="str">
        <f>"Producent"</f>
        <v>Producent</v>
      </c>
      <c r="J4" s="22" t="str">
        <f>"Rok prod."</f>
        <v>Rok prod.</v>
      </c>
      <c r="K4" s="16" t="s">
        <v>1</v>
      </c>
      <c r="L4" s="16" t="s">
        <v>2</v>
      </c>
      <c r="M4" s="16" t="s">
        <v>3</v>
      </c>
      <c r="N4" s="16" t="s">
        <v>5</v>
      </c>
    </row>
    <row r="5" spans="1:14">
      <c r="A5" s="6">
        <v>1</v>
      </c>
      <c r="B5" s="6" t="str">
        <f t="shared" ref="B5:B33" si="0">"Pompa infuzyjna strzykawkowa"</f>
        <v>Pompa infuzyjna strzykawkowa</v>
      </c>
      <c r="C5" s="6" t="str">
        <f>"AP 12"</f>
        <v>AP 12</v>
      </c>
      <c r="D5" s="6" t="str">
        <f>"2093"</f>
        <v>2093</v>
      </c>
      <c r="E5" s="6" t="str">
        <f>"środek niskocenny"</f>
        <v>środek niskocenny</v>
      </c>
      <c r="F5" s="6" t="str">
        <f>"2023-06-28"</f>
        <v>2023-06-28</v>
      </c>
      <c r="G5" s="6" t="str">
        <f>"2024-06-28"</f>
        <v>2024-06-28</v>
      </c>
      <c r="H5" s="6" t="str">
        <f>"Oddział Chorób Wewnętrznych I"</f>
        <v>Oddział Chorób Wewnętrznych I</v>
      </c>
      <c r="I5" s="6" t="str">
        <f>"Ascor S.A."</f>
        <v>Ascor S.A.</v>
      </c>
      <c r="J5" s="6">
        <v>2004</v>
      </c>
      <c r="K5" s="6">
        <v>4</v>
      </c>
      <c r="L5" s="19"/>
      <c r="M5" s="19"/>
      <c r="N5" s="19"/>
    </row>
    <row r="6" spans="1:14">
      <c r="A6" s="6">
        <v>2</v>
      </c>
      <c r="B6" s="6" t="str">
        <f t="shared" si="0"/>
        <v>Pompa infuzyjna strzykawkowa</v>
      </c>
      <c r="C6" s="6" t="str">
        <f>"AP 12"</f>
        <v>AP 12</v>
      </c>
      <c r="D6" s="6" t="str">
        <f>"2111 "</f>
        <v xml:space="preserve">2111 </v>
      </c>
      <c r="E6" s="6" t="str">
        <f>"802/73/P"</f>
        <v>802/73/P</v>
      </c>
      <c r="F6" s="6" t="str">
        <f>"2024-05-09"</f>
        <v>2024-05-09</v>
      </c>
      <c r="G6" s="6" t="str">
        <f>"2025-05-09"</f>
        <v>2025-05-09</v>
      </c>
      <c r="H6" s="6" t="str">
        <f>"Oddział Otolaryngologiczny"</f>
        <v>Oddział Otolaryngologiczny</v>
      </c>
      <c r="I6" s="6" t="str">
        <f>"Ascor S.A."</f>
        <v>Ascor S.A.</v>
      </c>
      <c r="J6" s="6">
        <v>2004</v>
      </c>
      <c r="K6" s="6">
        <v>4</v>
      </c>
      <c r="L6" s="19"/>
      <c r="M6" s="19"/>
      <c r="N6" s="19"/>
    </row>
    <row r="7" spans="1:14">
      <c r="A7" s="6">
        <v>3</v>
      </c>
      <c r="B7" s="6" t="str">
        <f t="shared" si="0"/>
        <v>Pompa infuzyjna strzykawkowa</v>
      </c>
      <c r="C7" s="6" t="str">
        <f>"AP 12"</f>
        <v>AP 12</v>
      </c>
      <c r="D7" s="6" t="str">
        <f>"2092"</f>
        <v>2092</v>
      </c>
      <c r="E7" s="6" t="str">
        <f>"środek niskocenny"</f>
        <v>środek niskocenny</v>
      </c>
      <c r="F7" s="6" t="str">
        <f>"2023-06-28"</f>
        <v>2023-06-28</v>
      </c>
      <c r="G7" s="6" t="str">
        <f>"2024-06-28"</f>
        <v>2024-06-28</v>
      </c>
      <c r="H7" s="6" t="str">
        <f>"Oddział Zakaźny "</f>
        <v xml:space="preserve">Oddział Zakaźny </v>
      </c>
      <c r="I7" s="6" t="str">
        <f>"Ascor S.A."</f>
        <v>Ascor S.A.</v>
      </c>
      <c r="J7" s="6">
        <v>2004</v>
      </c>
      <c r="K7" s="6">
        <v>4</v>
      </c>
      <c r="L7" s="19"/>
      <c r="M7" s="19"/>
      <c r="N7" s="19"/>
    </row>
    <row r="8" spans="1:14">
      <c r="A8" s="6">
        <v>4</v>
      </c>
      <c r="B8" s="6" t="str">
        <f t="shared" si="0"/>
        <v>Pompa infuzyjna strzykawkowa</v>
      </c>
      <c r="C8" s="6" t="str">
        <f>"AP14"</f>
        <v>AP14</v>
      </c>
      <c r="D8" s="6" t="str">
        <f>"11131-2020"</f>
        <v>11131-2020</v>
      </c>
      <c r="E8" s="6" t="str">
        <f>"środek niskocenny"</f>
        <v>środek niskocenny</v>
      </c>
      <c r="F8" s="6" t="str">
        <f>"2023-05-17"</f>
        <v>2023-05-17</v>
      </c>
      <c r="G8" s="6"/>
      <c r="H8" s="6" t="str">
        <f>"Oddział Zakaźny "</f>
        <v xml:space="preserve">Oddział Zakaźny </v>
      </c>
      <c r="I8" s="6" t="str">
        <f>"Ascor S.A."</f>
        <v>Ascor S.A.</v>
      </c>
      <c r="J8" s="6">
        <v>2020</v>
      </c>
      <c r="K8" s="6">
        <v>4</v>
      </c>
      <c r="L8" s="19"/>
      <c r="M8" s="19"/>
      <c r="N8" s="19"/>
    </row>
    <row r="9" spans="1:14">
      <c r="A9" s="6">
        <v>5</v>
      </c>
      <c r="B9" s="6" t="str">
        <f t="shared" si="0"/>
        <v>Pompa infuzyjna strzykawkowa</v>
      </c>
      <c r="C9" s="6" t="str">
        <f>"AP14"</f>
        <v>AP14</v>
      </c>
      <c r="D9" s="6" t="str">
        <f>"1117-2020"</f>
        <v>1117-2020</v>
      </c>
      <c r="E9" s="6" t="str">
        <f>"środek niskocenny"</f>
        <v>środek niskocenny</v>
      </c>
      <c r="F9" s="6" t="str">
        <f>"2023-03-13"</f>
        <v>2023-03-13</v>
      </c>
      <c r="G9" s="6"/>
      <c r="H9" s="6" t="str">
        <f>"Oddział Zakaźny "</f>
        <v xml:space="preserve">Oddział Zakaźny </v>
      </c>
      <c r="I9" s="6" t="str">
        <f>"Ascor S.A."</f>
        <v>Ascor S.A.</v>
      </c>
      <c r="J9" s="6">
        <v>2020</v>
      </c>
      <c r="K9" s="6">
        <v>4</v>
      </c>
      <c r="L9" s="19"/>
      <c r="M9" s="19"/>
      <c r="N9" s="19"/>
    </row>
    <row r="10" spans="1:14">
      <c r="A10" s="6">
        <v>6</v>
      </c>
      <c r="B10" s="6" t="str">
        <f t="shared" si="0"/>
        <v>Pompa infuzyjna strzykawkowa</v>
      </c>
      <c r="C10" s="6" t="str">
        <f>"AP-22"</f>
        <v>AP-22</v>
      </c>
      <c r="D10" s="6" t="str">
        <f>"3568/08"</f>
        <v>3568/08</v>
      </c>
      <c r="E10" s="6" t="str">
        <f>"802/946"</f>
        <v>802/946</v>
      </c>
      <c r="F10" s="6" t="str">
        <f>"2024-01-15"</f>
        <v>2024-01-15</v>
      </c>
      <c r="G10" s="6" t="str">
        <f>"2025-01-15"</f>
        <v>2025-01-15</v>
      </c>
      <c r="H10" s="6" t="str">
        <f>"Oddział Chorób Wewnętrznych I"</f>
        <v>Oddział Chorób Wewnętrznych I</v>
      </c>
      <c r="I10" s="6" t="str">
        <f>"ASCOR S.A."</f>
        <v>ASCOR S.A.</v>
      </c>
      <c r="J10" s="6">
        <v>2008</v>
      </c>
      <c r="K10" s="6">
        <v>4</v>
      </c>
      <c r="L10" s="19"/>
      <c r="M10" s="19"/>
      <c r="N10" s="19"/>
    </row>
    <row r="11" spans="1:14">
      <c r="A11" s="6">
        <v>7</v>
      </c>
      <c r="B11" s="6" t="str">
        <f t="shared" si="0"/>
        <v>Pompa infuzyjna strzykawkowa</v>
      </c>
      <c r="C11" s="6" t="str">
        <f>"AP-22"</f>
        <v>AP-22</v>
      </c>
      <c r="D11" s="6" t="str">
        <f>"3569/08"</f>
        <v>3569/08</v>
      </c>
      <c r="E11" s="6" t="str">
        <f>"802/947"</f>
        <v>802/947</v>
      </c>
      <c r="F11" s="6" t="str">
        <f>"2020-12-03"</f>
        <v>2020-12-03</v>
      </c>
      <c r="G11" s="6" t="str">
        <f>"2021-12-03"</f>
        <v>2021-12-03</v>
      </c>
      <c r="H11" s="6" t="str">
        <f>"Oddział Chorób Wewnętrznych I"</f>
        <v>Oddział Chorób Wewnętrznych I</v>
      </c>
      <c r="I11" s="6" t="str">
        <f>"ASCOR S.A."</f>
        <v>ASCOR S.A.</v>
      </c>
      <c r="J11" s="6">
        <v>2008</v>
      </c>
      <c r="K11" s="6">
        <v>4</v>
      </c>
      <c r="L11" s="19"/>
      <c r="M11" s="19"/>
      <c r="N11" s="19"/>
    </row>
    <row r="12" spans="1:14">
      <c r="A12" s="6">
        <v>8</v>
      </c>
      <c r="B12" s="6" t="str">
        <f t="shared" si="0"/>
        <v>Pompa infuzyjna strzykawkowa</v>
      </c>
      <c r="C12" s="6" t="str">
        <f>"AP-22"</f>
        <v>AP-22</v>
      </c>
      <c r="D12" s="6" t="str">
        <f>"2653/07"</f>
        <v>2653/07</v>
      </c>
      <c r="E12" s="6" t="str">
        <f>"802/902"</f>
        <v>802/902</v>
      </c>
      <c r="F12" s="6" t="str">
        <f>"2024-01-15"</f>
        <v>2024-01-15</v>
      </c>
      <c r="G12" s="6" t="str">
        <f>"2025-01-15"</f>
        <v>2025-01-15</v>
      </c>
      <c r="H12" s="6" t="str">
        <f>"Oddział Gastroenterologiczny"</f>
        <v>Oddział Gastroenterologiczny</v>
      </c>
      <c r="I12" s="6" t="str">
        <f>"ASCOR S.A."</f>
        <v>ASCOR S.A.</v>
      </c>
      <c r="J12" s="6">
        <v>2007</v>
      </c>
      <c r="K12" s="6">
        <v>4</v>
      </c>
      <c r="L12" s="19"/>
      <c r="M12" s="19"/>
      <c r="N12" s="19"/>
    </row>
    <row r="13" spans="1:14">
      <c r="A13" s="6">
        <v>9</v>
      </c>
      <c r="B13" s="6" t="str">
        <f t="shared" si="0"/>
        <v>Pompa infuzyjna strzykawkowa</v>
      </c>
      <c r="C13" s="6" t="str">
        <f t="shared" ref="C13:C31" si="1">"AP-23"</f>
        <v>AP-23</v>
      </c>
      <c r="D13" s="6" t="str">
        <f>"0130/07"</f>
        <v>0130/07</v>
      </c>
      <c r="E13" s="6" t="str">
        <f>"802/909"</f>
        <v>802/909</v>
      </c>
      <c r="F13" s="6" t="str">
        <f>"2024-01-15"</f>
        <v>2024-01-15</v>
      </c>
      <c r="G13" s="6" t="str">
        <f>"2025-01-15"</f>
        <v>2025-01-15</v>
      </c>
      <c r="H13" s="6" t="str">
        <f>"Oddział Anestezjologii i Intensywnej Terapii"</f>
        <v>Oddział Anestezjologii i Intensywnej Terapii</v>
      </c>
      <c r="I13" s="6" t="str">
        <f t="shared" ref="I13:I39" si="2">"Ascor S.A."</f>
        <v>Ascor S.A.</v>
      </c>
      <c r="J13" s="6">
        <v>2007</v>
      </c>
      <c r="K13" s="6">
        <v>4</v>
      </c>
      <c r="L13" s="19"/>
      <c r="M13" s="19"/>
      <c r="N13" s="19"/>
    </row>
    <row r="14" spans="1:14">
      <c r="A14" s="6">
        <v>10</v>
      </c>
      <c r="B14" s="6" t="str">
        <f t="shared" si="0"/>
        <v>Pompa infuzyjna strzykawkowa</v>
      </c>
      <c r="C14" s="6" t="str">
        <f t="shared" si="1"/>
        <v>AP-23</v>
      </c>
      <c r="D14" s="6" t="str">
        <f>"0135/07"</f>
        <v>0135/07</v>
      </c>
      <c r="E14" s="6" t="str">
        <f>"802/908"</f>
        <v>802/908</v>
      </c>
      <c r="F14" s="6" t="str">
        <f>"2024-01-15"</f>
        <v>2024-01-15</v>
      </c>
      <c r="G14" s="6" t="str">
        <f>"2025-01-15"</f>
        <v>2025-01-15</v>
      </c>
      <c r="H14" s="6" t="str">
        <f>"Oddział Anestezjologii i Intensywnej Terapii"</f>
        <v>Oddział Anestezjologii i Intensywnej Terapii</v>
      </c>
      <c r="I14" s="6" t="str">
        <f t="shared" si="2"/>
        <v>Ascor S.A.</v>
      </c>
      <c r="J14" s="6">
        <v>2007</v>
      </c>
      <c r="K14" s="6">
        <v>4</v>
      </c>
      <c r="L14" s="19"/>
      <c r="M14" s="19"/>
      <c r="N14" s="19"/>
    </row>
    <row r="15" spans="1:14">
      <c r="A15" s="6">
        <v>11</v>
      </c>
      <c r="B15" s="6" t="str">
        <f t="shared" si="0"/>
        <v>Pompa infuzyjna strzykawkowa</v>
      </c>
      <c r="C15" s="6" t="str">
        <f t="shared" si="1"/>
        <v>AP-23</v>
      </c>
      <c r="D15" s="6" t="str">
        <f>"0127/07"</f>
        <v>0127/07</v>
      </c>
      <c r="E15" s="6" t="str">
        <f>"802/922"</f>
        <v>802/922</v>
      </c>
      <c r="F15" s="6" t="str">
        <f>"2024-01-15"</f>
        <v>2024-01-15</v>
      </c>
      <c r="G15" s="6" t="str">
        <f>"2025-01-15"</f>
        <v>2025-01-15</v>
      </c>
      <c r="H15" s="6" t="str">
        <f>"Oddział Gastroenterologii Dziecięcej"</f>
        <v>Oddział Gastroenterologii Dziecięcej</v>
      </c>
      <c r="I15" s="6" t="str">
        <f t="shared" si="2"/>
        <v>Ascor S.A.</v>
      </c>
      <c r="J15" s="6">
        <v>2007</v>
      </c>
      <c r="K15" s="6">
        <v>4</v>
      </c>
      <c r="L15" s="19"/>
      <c r="M15" s="19"/>
      <c r="N15" s="19"/>
    </row>
    <row r="16" spans="1:14">
      <c r="A16" s="6">
        <v>12</v>
      </c>
      <c r="B16" s="6" t="str">
        <f t="shared" si="0"/>
        <v>Pompa infuzyjna strzykawkowa</v>
      </c>
      <c r="C16" s="6" t="str">
        <f t="shared" si="1"/>
        <v>AP-23</v>
      </c>
      <c r="D16" s="6" t="str">
        <f>"0134/07"</f>
        <v>0134/07</v>
      </c>
      <c r="E16" s="6" t="str">
        <f>"802/924"</f>
        <v>802/924</v>
      </c>
      <c r="F16" s="6" t="str">
        <f>"2024-05-09"</f>
        <v>2024-05-09</v>
      </c>
      <c r="G16" s="6" t="str">
        <f>"2025-05-09"</f>
        <v>2025-05-09</v>
      </c>
      <c r="H16" s="6" t="str">
        <f>"Oddział Kardiologiczny A"</f>
        <v>Oddział Kardiologiczny A</v>
      </c>
      <c r="I16" s="6" t="str">
        <f t="shared" si="2"/>
        <v>Ascor S.A.</v>
      </c>
      <c r="J16" s="6">
        <v>2007</v>
      </c>
      <c r="K16" s="6">
        <v>4</v>
      </c>
      <c r="L16" s="19"/>
      <c r="M16" s="19"/>
      <c r="N16" s="19"/>
    </row>
    <row r="17" spans="1:14">
      <c r="A17" s="6">
        <v>13</v>
      </c>
      <c r="B17" s="6" t="str">
        <f t="shared" si="0"/>
        <v>Pompa infuzyjna strzykawkowa</v>
      </c>
      <c r="C17" s="6" t="str">
        <f t="shared" si="1"/>
        <v>AP-23</v>
      </c>
      <c r="D17" s="6" t="str">
        <f>"0137/07"</f>
        <v>0137/07</v>
      </c>
      <c r="E17" s="6" t="str">
        <f>"802/925"</f>
        <v>802/925</v>
      </c>
      <c r="F17" s="6" t="str">
        <f>"2024-01-15"</f>
        <v>2024-01-15</v>
      </c>
      <c r="G17" s="6" t="str">
        <f>"2025-01-15"</f>
        <v>2025-01-15</v>
      </c>
      <c r="H17" s="6" t="str">
        <f>"Oddział Nefrologiczny ze Stacją Dializ"</f>
        <v>Oddział Nefrologiczny ze Stacją Dializ</v>
      </c>
      <c r="I17" s="6" t="str">
        <f t="shared" si="2"/>
        <v>Ascor S.A.</v>
      </c>
      <c r="J17" s="6">
        <v>2007</v>
      </c>
      <c r="K17" s="6">
        <v>4</v>
      </c>
      <c r="L17" s="19"/>
      <c r="M17" s="19"/>
      <c r="N17" s="19"/>
    </row>
    <row r="18" spans="1:14">
      <c r="A18" s="6">
        <v>14</v>
      </c>
      <c r="B18" s="6" t="str">
        <f t="shared" si="0"/>
        <v>Pompa infuzyjna strzykawkowa</v>
      </c>
      <c r="C18" s="6" t="str">
        <f t="shared" si="1"/>
        <v>AP-23</v>
      </c>
      <c r="D18" s="6" t="str">
        <f>"0136/07"</f>
        <v>0136/07</v>
      </c>
      <c r="E18" s="6" t="str">
        <f>"802/926"</f>
        <v>802/926</v>
      </c>
      <c r="F18" s="6" t="str">
        <f>"2024-05-14"</f>
        <v>2024-05-14</v>
      </c>
      <c r="G18" s="6" t="str">
        <f>"2025-05-14"</f>
        <v>2025-05-14</v>
      </c>
      <c r="H18" s="6" t="str">
        <f>"Oddział Nefrologiczny ze Stacją Dializ"</f>
        <v>Oddział Nefrologiczny ze Stacją Dializ</v>
      </c>
      <c r="I18" s="6" t="str">
        <f t="shared" si="2"/>
        <v>Ascor S.A.</v>
      </c>
      <c r="J18" s="6">
        <v>2007</v>
      </c>
      <c r="K18" s="6">
        <v>4</v>
      </c>
      <c r="L18" s="19"/>
      <c r="M18" s="19"/>
      <c r="N18" s="19"/>
    </row>
    <row r="19" spans="1:14">
      <c r="A19" s="6">
        <v>15</v>
      </c>
      <c r="B19" s="6" t="str">
        <f t="shared" si="0"/>
        <v>Pompa infuzyjna strzykawkowa</v>
      </c>
      <c r="C19" s="6" t="str">
        <f t="shared" si="1"/>
        <v>AP-23</v>
      </c>
      <c r="D19" s="6" t="str">
        <f>"0125/07"</f>
        <v>0125/07</v>
      </c>
      <c r="E19" s="6" t="str">
        <f>"802/913"</f>
        <v>802/913</v>
      </c>
      <c r="F19" s="6" t="str">
        <f>"2024-01-15"</f>
        <v>2024-01-15</v>
      </c>
      <c r="G19" s="6" t="str">
        <f>"2025-01-15"</f>
        <v>2025-01-15</v>
      </c>
      <c r="H19" s="6" t="str">
        <f t="shared" ref="H19:H28" si="3">"Oddział Patologii i Intensywnej Terapii Noworodka"</f>
        <v>Oddział Patologii i Intensywnej Terapii Noworodka</v>
      </c>
      <c r="I19" s="6" t="str">
        <f t="shared" si="2"/>
        <v>Ascor S.A.</v>
      </c>
      <c r="J19" s="6">
        <v>2007</v>
      </c>
      <c r="K19" s="6">
        <v>4</v>
      </c>
      <c r="L19" s="19"/>
      <c r="M19" s="19"/>
      <c r="N19" s="19"/>
    </row>
    <row r="20" spans="1:14">
      <c r="A20" s="6">
        <v>16</v>
      </c>
      <c r="B20" s="6" t="str">
        <f t="shared" si="0"/>
        <v>Pompa infuzyjna strzykawkowa</v>
      </c>
      <c r="C20" s="6" t="str">
        <f t="shared" si="1"/>
        <v>AP-23</v>
      </c>
      <c r="D20" s="6" t="str">
        <f>"0129/07"</f>
        <v>0129/07</v>
      </c>
      <c r="E20" s="6" t="str">
        <f>"802/917"</f>
        <v>802/917</v>
      </c>
      <c r="F20" s="6" t="str">
        <f>"2024-01-15"</f>
        <v>2024-01-15</v>
      </c>
      <c r="G20" s="6" t="str">
        <f>"2025-01-15"</f>
        <v>2025-01-15</v>
      </c>
      <c r="H20" s="6" t="str">
        <f t="shared" si="3"/>
        <v>Oddział Patologii i Intensywnej Terapii Noworodka</v>
      </c>
      <c r="I20" s="6" t="str">
        <f t="shared" si="2"/>
        <v>Ascor S.A.</v>
      </c>
      <c r="J20" s="6">
        <v>2007</v>
      </c>
      <c r="K20" s="6">
        <v>4</v>
      </c>
      <c r="L20" s="19"/>
      <c r="M20" s="19"/>
      <c r="N20" s="19"/>
    </row>
    <row r="21" spans="1:14">
      <c r="A21" s="6">
        <v>17</v>
      </c>
      <c r="B21" s="6" t="str">
        <f t="shared" si="0"/>
        <v>Pompa infuzyjna strzykawkowa</v>
      </c>
      <c r="C21" s="6" t="str">
        <f t="shared" si="1"/>
        <v>AP-23</v>
      </c>
      <c r="D21" s="6" t="str">
        <f>"0126/07"</f>
        <v>0126/07</v>
      </c>
      <c r="E21" s="6" t="str">
        <f>"802/919"</f>
        <v>802/919</v>
      </c>
      <c r="F21" s="6" t="str">
        <f>"2024-01-15"</f>
        <v>2024-01-15</v>
      </c>
      <c r="G21" s="6" t="str">
        <f>"2025-01-15"</f>
        <v>2025-01-15</v>
      </c>
      <c r="H21" s="6" t="str">
        <f t="shared" si="3"/>
        <v>Oddział Patologii i Intensywnej Terapii Noworodka</v>
      </c>
      <c r="I21" s="6" t="str">
        <f t="shared" si="2"/>
        <v>Ascor S.A.</v>
      </c>
      <c r="J21" s="6">
        <v>2007</v>
      </c>
      <c r="K21" s="6">
        <v>4</v>
      </c>
      <c r="L21" s="19"/>
      <c r="M21" s="19"/>
      <c r="N21" s="19"/>
    </row>
    <row r="22" spans="1:14">
      <c r="A22" s="6">
        <v>18</v>
      </c>
      <c r="B22" s="6" t="str">
        <f t="shared" si="0"/>
        <v>Pompa infuzyjna strzykawkowa</v>
      </c>
      <c r="C22" s="6" t="str">
        <f t="shared" si="1"/>
        <v>AP-23</v>
      </c>
      <c r="D22" s="6" t="str">
        <f>"0138/07"</f>
        <v>0138/07</v>
      </c>
      <c r="E22" s="6" t="str">
        <f>"802/910"</f>
        <v>802/910</v>
      </c>
      <c r="F22" s="6" t="str">
        <f>"2024-01-15"</f>
        <v>2024-01-15</v>
      </c>
      <c r="G22" s="6" t="str">
        <f>"2025-01-15"</f>
        <v>2025-01-15</v>
      </c>
      <c r="H22" s="6" t="str">
        <f t="shared" si="3"/>
        <v>Oddział Patologii i Intensywnej Terapii Noworodka</v>
      </c>
      <c r="I22" s="6" t="str">
        <f t="shared" si="2"/>
        <v>Ascor S.A.</v>
      </c>
      <c r="J22" s="6">
        <v>2007</v>
      </c>
      <c r="K22" s="6">
        <v>4</v>
      </c>
      <c r="L22" s="19"/>
      <c r="M22" s="19"/>
      <c r="N22" s="19"/>
    </row>
    <row r="23" spans="1:14">
      <c r="A23" s="6">
        <v>19</v>
      </c>
      <c r="B23" s="6" t="str">
        <f t="shared" si="0"/>
        <v>Pompa infuzyjna strzykawkowa</v>
      </c>
      <c r="C23" s="6" t="str">
        <f t="shared" si="1"/>
        <v>AP-23</v>
      </c>
      <c r="D23" s="6" t="str">
        <f>"0139/07"</f>
        <v>0139/07</v>
      </c>
      <c r="E23" s="6" t="str">
        <f>"802/911"</f>
        <v>802/911</v>
      </c>
      <c r="F23" s="6" t="str">
        <f>"2023-06-02"</f>
        <v>2023-06-02</v>
      </c>
      <c r="G23" s="6" t="str">
        <f>"2024-06-02"</f>
        <v>2024-06-02</v>
      </c>
      <c r="H23" s="6" t="str">
        <f t="shared" si="3"/>
        <v>Oddział Patologii i Intensywnej Terapii Noworodka</v>
      </c>
      <c r="I23" s="6" t="str">
        <f t="shared" si="2"/>
        <v>Ascor S.A.</v>
      </c>
      <c r="J23" s="6">
        <v>2007</v>
      </c>
      <c r="K23" s="6">
        <v>4</v>
      </c>
      <c r="L23" s="19"/>
      <c r="M23" s="19"/>
      <c r="N23" s="19"/>
    </row>
    <row r="24" spans="1:14">
      <c r="A24" s="6">
        <v>20</v>
      </c>
      <c r="B24" s="6" t="str">
        <f t="shared" si="0"/>
        <v>Pompa infuzyjna strzykawkowa</v>
      </c>
      <c r="C24" s="6" t="str">
        <f t="shared" si="1"/>
        <v>AP-23</v>
      </c>
      <c r="D24" s="6" t="str">
        <f>"0140/07"</f>
        <v>0140/07</v>
      </c>
      <c r="E24" s="6" t="str">
        <f>"802/912"</f>
        <v>802/912</v>
      </c>
      <c r="F24" s="6" t="str">
        <f>"2024-01-15"</f>
        <v>2024-01-15</v>
      </c>
      <c r="G24" s="6" t="str">
        <f>"2025-01-15"</f>
        <v>2025-01-15</v>
      </c>
      <c r="H24" s="6" t="str">
        <f t="shared" si="3"/>
        <v>Oddział Patologii i Intensywnej Terapii Noworodka</v>
      </c>
      <c r="I24" s="6" t="str">
        <f t="shared" si="2"/>
        <v>Ascor S.A.</v>
      </c>
      <c r="J24" s="6">
        <v>2007</v>
      </c>
      <c r="K24" s="6">
        <v>4</v>
      </c>
      <c r="L24" s="19"/>
      <c r="M24" s="19"/>
      <c r="N24" s="19"/>
    </row>
    <row r="25" spans="1:14">
      <c r="A25" s="6">
        <v>21</v>
      </c>
      <c r="B25" s="6" t="str">
        <f t="shared" si="0"/>
        <v>Pompa infuzyjna strzykawkowa</v>
      </c>
      <c r="C25" s="6" t="str">
        <f t="shared" si="1"/>
        <v>AP-23</v>
      </c>
      <c r="D25" s="6" t="str">
        <f>"0124/07"</f>
        <v>0124/07</v>
      </c>
      <c r="E25" s="6" t="str">
        <f>"802/914"</f>
        <v>802/914</v>
      </c>
      <c r="F25" s="6" t="str">
        <f>"2024-01-15"</f>
        <v>2024-01-15</v>
      </c>
      <c r="G25" s="6" t="str">
        <f>"2025-01-15"</f>
        <v>2025-01-15</v>
      </c>
      <c r="H25" s="6" t="str">
        <f t="shared" si="3"/>
        <v>Oddział Patologii i Intensywnej Terapii Noworodka</v>
      </c>
      <c r="I25" s="6" t="str">
        <f t="shared" si="2"/>
        <v>Ascor S.A.</v>
      </c>
      <c r="J25" s="6">
        <v>2007</v>
      </c>
      <c r="K25" s="6">
        <v>4</v>
      </c>
      <c r="L25" s="19"/>
      <c r="M25" s="19"/>
      <c r="N25" s="19"/>
    </row>
    <row r="26" spans="1:14">
      <c r="A26" s="6">
        <v>22</v>
      </c>
      <c r="B26" s="6" t="str">
        <f t="shared" si="0"/>
        <v>Pompa infuzyjna strzykawkowa</v>
      </c>
      <c r="C26" s="6" t="str">
        <f t="shared" si="1"/>
        <v>AP-23</v>
      </c>
      <c r="D26" s="6" t="str">
        <f>"0123/07"</f>
        <v>0123/07</v>
      </c>
      <c r="E26" s="6" t="str">
        <f>"802/915"</f>
        <v>802/915</v>
      </c>
      <c r="F26" s="6" t="str">
        <f>"2024-02-22"</f>
        <v>2024-02-22</v>
      </c>
      <c r="G26" s="6" t="str">
        <f>"2025-02-22"</f>
        <v>2025-02-22</v>
      </c>
      <c r="H26" s="6" t="str">
        <f t="shared" si="3"/>
        <v>Oddział Patologii i Intensywnej Terapii Noworodka</v>
      </c>
      <c r="I26" s="6" t="str">
        <f t="shared" si="2"/>
        <v>Ascor S.A.</v>
      </c>
      <c r="J26" s="6">
        <v>2007</v>
      </c>
      <c r="K26" s="6">
        <v>4</v>
      </c>
      <c r="L26" s="19"/>
      <c r="M26" s="19"/>
      <c r="N26" s="19"/>
    </row>
    <row r="27" spans="1:14">
      <c r="A27" s="6">
        <v>23</v>
      </c>
      <c r="B27" s="6" t="str">
        <f t="shared" si="0"/>
        <v>Pompa infuzyjna strzykawkowa</v>
      </c>
      <c r="C27" s="6" t="str">
        <f t="shared" si="1"/>
        <v>AP-23</v>
      </c>
      <c r="D27" s="6" t="str">
        <f>"0122/07"</f>
        <v>0122/07</v>
      </c>
      <c r="E27" s="6" t="str">
        <f>"802/916"</f>
        <v>802/916</v>
      </c>
      <c r="F27" s="6" t="str">
        <f>"2024-01-15"</f>
        <v>2024-01-15</v>
      </c>
      <c r="G27" s="6" t="str">
        <f>"2025-01-15"</f>
        <v>2025-01-15</v>
      </c>
      <c r="H27" s="6" t="str">
        <f t="shared" si="3"/>
        <v>Oddział Patologii i Intensywnej Terapii Noworodka</v>
      </c>
      <c r="I27" s="6" t="str">
        <f t="shared" si="2"/>
        <v>Ascor S.A.</v>
      </c>
      <c r="J27" s="6">
        <v>2007</v>
      </c>
      <c r="K27" s="6">
        <v>4</v>
      </c>
      <c r="L27" s="19"/>
      <c r="M27" s="19"/>
      <c r="N27" s="19"/>
    </row>
    <row r="28" spans="1:14">
      <c r="A28" s="6">
        <v>24</v>
      </c>
      <c r="B28" s="6" t="str">
        <f t="shared" si="0"/>
        <v>Pompa infuzyjna strzykawkowa</v>
      </c>
      <c r="C28" s="6" t="str">
        <f t="shared" si="1"/>
        <v>AP-23</v>
      </c>
      <c r="D28" s="6" t="str">
        <f>"0128/07"</f>
        <v>0128/07</v>
      </c>
      <c r="E28" s="6" t="str">
        <f>"802/918"</f>
        <v>802/918</v>
      </c>
      <c r="F28" s="6" t="str">
        <f>"2023-06-02"</f>
        <v>2023-06-02</v>
      </c>
      <c r="G28" s="6" t="str">
        <f>"2024-06-02"</f>
        <v>2024-06-02</v>
      </c>
      <c r="H28" s="6" t="str">
        <f t="shared" si="3"/>
        <v>Oddział Patologii i Intensywnej Terapii Noworodka</v>
      </c>
      <c r="I28" s="6" t="str">
        <f t="shared" si="2"/>
        <v>Ascor S.A.</v>
      </c>
      <c r="J28" s="6">
        <v>2007</v>
      </c>
      <c r="K28" s="6">
        <v>4</v>
      </c>
      <c r="L28" s="19"/>
      <c r="M28" s="19"/>
      <c r="N28" s="19"/>
    </row>
    <row r="29" spans="1:14">
      <c r="A29" s="6">
        <v>25</v>
      </c>
      <c r="B29" s="6" t="str">
        <f t="shared" si="0"/>
        <v>Pompa infuzyjna strzykawkowa</v>
      </c>
      <c r="C29" s="6" t="str">
        <f t="shared" si="1"/>
        <v>AP-23</v>
      </c>
      <c r="D29" s="6" t="str">
        <f>"0132/07"</f>
        <v>0132/07</v>
      </c>
      <c r="E29" s="6" t="str">
        <f>"802/921"</f>
        <v>802/921</v>
      </c>
      <c r="F29" s="6" t="str">
        <f>"2024-05-09"</f>
        <v>2024-05-09</v>
      </c>
      <c r="G29" s="6" t="str">
        <f>"2025-05-09"</f>
        <v>2025-05-09</v>
      </c>
      <c r="H29" s="6" t="str">
        <f>"Oddział Urologiczny"</f>
        <v>Oddział Urologiczny</v>
      </c>
      <c r="I29" s="6" t="str">
        <f t="shared" si="2"/>
        <v>Ascor S.A.</v>
      </c>
      <c r="J29" s="6">
        <v>2007</v>
      </c>
      <c r="K29" s="6">
        <v>4</v>
      </c>
      <c r="L29" s="19"/>
      <c r="M29" s="19"/>
      <c r="N29" s="19"/>
    </row>
    <row r="30" spans="1:14">
      <c r="A30" s="6">
        <v>26</v>
      </c>
      <c r="B30" s="6" t="str">
        <f t="shared" si="0"/>
        <v>Pompa infuzyjna strzykawkowa</v>
      </c>
      <c r="C30" s="6" t="str">
        <f t="shared" si="1"/>
        <v>AP-23</v>
      </c>
      <c r="D30" s="6" t="str">
        <f>"0131/07"</f>
        <v>0131/07</v>
      </c>
      <c r="E30" s="6" t="str">
        <f>"802/923"</f>
        <v>802/923</v>
      </c>
      <c r="F30" s="6" t="str">
        <f>"2024-05-09"</f>
        <v>2024-05-09</v>
      </c>
      <c r="G30" s="6" t="str">
        <f>"2025-05-09"</f>
        <v>2025-05-09</v>
      </c>
      <c r="H30" s="6" t="str">
        <f>"Oddział Urologiczny"</f>
        <v>Oddział Urologiczny</v>
      </c>
      <c r="I30" s="6" t="str">
        <f t="shared" si="2"/>
        <v>Ascor S.A.</v>
      </c>
      <c r="J30" s="6">
        <v>2007</v>
      </c>
      <c r="K30" s="6">
        <v>4</v>
      </c>
      <c r="L30" s="19"/>
      <c r="M30" s="19"/>
      <c r="N30" s="19"/>
    </row>
    <row r="31" spans="1:14">
      <c r="A31" s="6">
        <v>27</v>
      </c>
      <c r="B31" s="6" t="str">
        <f t="shared" si="0"/>
        <v>Pompa infuzyjna strzykawkowa</v>
      </c>
      <c r="C31" s="6" t="str">
        <f t="shared" si="1"/>
        <v>AP-23</v>
      </c>
      <c r="D31" s="6" t="str">
        <f>"0133/07"</f>
        <v>0133/07</v>
      </c>
      <c r="E31" s="6" t="str">
        <f>"802/920"</f>
        <v>802/920</v>
      </c>
      <c r="F31" s="6" t="str">
        <f>"2024-01-15"</f>
        <v>2024-01-15</v>
      </c>
      <c r="G31" s="6" t="str">
        <f>"2025-01-15"</f>
        <v>2025-01-15</v>
      </c>
      <c r="H31" s="6" t="str">
        <f>"Oddział Urologiczny"</f>
        <v>Oddział Urologiczny</v>
      </c>
      <c r="I31" s="6" t="str">
        <f t="shared" si="2"/>
        <v>Ascor S.A.</v>
      </c>
      <c r="J31" s="6">
        <v>2007</v>
      </c>
      <c r="K31" s="6">
        <v>4</v>
      </c>
      <c r="L31" s="19"/>
      <c r="M31" s="19"/>
      <c r="N31" s="19"/>
    </row>
    <row r="32" spans="1:14">
      <c r="A32" s="6">
        <v>28</v>
      </c>
      <c r="B32" s="6" t="str">
        <f t="shared" si="0"/>
        <v>Pompa infuzyjna strzykawkowa</v>
      </c>
      <c r="C32" s="6" t="str">
        <f>"AP24+"</f>
        <v>AP24+</v>
      </c>
      <c r="D32" s="6" t="str">
        <f>"04298-2020"</f>
        <v>04298-2020</v>
      </c>
      <c r="E32" s="6" t="str">
        <f>"środek niskocenny"</f>
        <v>środek niskocenny</v>
      </c>
      <c r="F32" s="6" t="str">
        <f>"2023-03-13"</f>
        <v>2023-03-13</v>
      </c>
      <c r="G32" s="6"/>
      <c r="H32" s="6" t="str">
        <f>"Oddział Zakaźny "</f>
        <v xml:space="preserve">Oddział Zakaźny </v>
      </c>
      <c r="I32" s="6" t="str">
        <f t="shared" si="2"/>
        <v>Ascor S.A.</v>
      </c>
      <c r="J32" s="6">
        <v>2020</v>
      </c>
      <c r="K32" s="6">
        <v>4</v>
      </c>
      <c r="L32" s="19"/>
      <c r="M32" s="19"/>
      <c r="N32" s="19"/>
    </row>
    <row r="33" spans="1:14">
      <c r="A33" s="6">
        <v>29</v>
      </c>
      <c r="B33" s="6" t="str">
        <f t="shared" si="0"/>
        <v>Pompa infuzyjna strzykawkowa</v>
      </c>
      <c r="C33" s="6" t="str">
        <f>"AP24+"</f>
        <v>AP24+</v>
      </c>
      <c r="D33" s="6" t="str">
        <f>"04299-2020"</f>
        <v>04299-2020</v>
      </c>
      <c r="E33" s="6" t="str">
        <f>"środek niskocenny"</f>
        <v>środek niskocenny</v>
      </c>
      <c r="F33" s="6" t="str">
        <f>"2023-03-13"</f>
        <v>2023-03-13</v>
      </c>
      <c r="G33" s="6"/>
      <c r="H33" s="6" t="str">
        <f>"Oddział Zakaźny "</f>
        <v xml:space="preserve">Oddział Zakaźny </v>
      </c>
      <c r="I33" s="6" t="str">
        <f t="shared" si="2"/>
        <v>Ascor S.A.</v>
      </c>
      <c r="J33" s="6">
        <v>2020</v>
      </c>
      <c r="K33" s="6">
        <v>4</v>
      </c>
      <c r="L33" s="19"/>
      <c r="M33" s="19"/>
      <c r="N33" s="19"/>
    </row>
    <row r="34" spans="1:14">
      <c r="A34" s="6">
        <v>30</v>
      </c>
      <c r="B34" s="6" t="str">
        <f t="shared" ref="B34:B40" si="4">"Pompa infuzyjna objętościowa (perystaltyczna)"</f>
        <v>Pompa infuzyjna objętościowa (perystaltyczna)</v>
      </c>
      <c r="C34" s="6" t="str">
        <f t="shared" ref="C34:C39" si="5">"AP31"</f>
        <v>AP31</v>
      </c>
      <c r="D34" s="6" t="str">
        <f>"31-01429-2017"</f>
        <v>31-01429-2017</v>
      </c>
      <c r="E34" s="6" t="str">
        <f>"802/1735"</f>
        <v>802/1735</v>
      </c>
      <c r="F34" s="6" t="str">
        <f>"2024-01-15"</f>
        <v>2024-01-15</v>
      </c>
      <c r="G34" s="6" t="str">
        <f>"2025-01-15"</f>
        <v>2025-01-15</v>
      </c>
      <c r="H34" s="6" t="str">
        <f>"Blok Operacyjny - Toruńska"</f>
        <v>Blok Operacyjny - Toruńska</v>
      </c>
      <c r="I34" s="6" t="str">
        <f t="shared" si="2"/>
        <v>Ascor S.A.</v>
      </c>
      <c r="J34" s="6">
        <v>2017</v>
      </c>
      <c r="K34" s="6">
        <v>4</v>
      </c>
      <c r="L34" s="19"/>
      <c r="M34" s="19"/>
      <c r="N34" s="19"/>
    </row>
    <row r="35" spans="1:14">
      <c r="A35" s="6">
        <v>31</v>
      </c>
      <c r="B35" s="6" t="str">
        <f t="shared" si="4"/>
        <v>Pompa infuzyjna objętościowa (perystaltyczna)</v>
      </c>
      <c r="C35" s="6" t="str">
        <f t="shared" si="5"/>
        <v>AP31</v>
      </c>
      <c r="D35" s="6" t="str">
        <f>"31-01427-2017"</f>
        <v>31-01427-2017</v>
      </c>
      <c r="E35" s="6" t="str">
        <f>"802/1733"</f>
        <v>802/1733</v>
      </c>
      <c r="F35" s="6" t="str">
        <f>"2024-01-15"</f>
        <v>2024-01-15</v>
      </c>
      <c r="G35" s="6" t="str">
        <f>"2025-01-15"</f>
        <v>2025-01-15</v>
      </c>
      <c r="H35" s="6" t="str">
        <f>"Blok Operacyjny - Toruńska"</f>
        <v>Blok Operacyjny - Toruńska</v>
      </c>
      <c r="I35" s="6" t="str">
        <f t="shared" si="2"/>
        <v>Ascor S.A.</v>
      </c>
      <c r="J35" s="6">
        <v>2017</v>
      </c>
      <c r="K35" s="6">
        <v>4</v>
      </c>
      <c r="L35" s="19"/>
      <c r="M35" s="19"/>
      <c r="N35" s="19"/>
    </row>
    <row r="36" spans="1:14">
      <c r="A36" s="6">
        <v>32</v>
      </c>
      <c r="B36" s="6" t="str">
        <f t="shared" si="4"/>
        <v>Pompa infuzyjna objętościowa (perystaltyczna)</v>
      </c>
      <c r="C36" s="6" t="str">
        <f t="shared" si="5"/>
        <v>AP31</v>
      </c>
      <c r="D36" s="6" t="str">
        <f>"31-01431-2017"</f>
        <v>31-01431-2017</v>
      </c>
      <c r="E36" s="6" t="str">
        <f>"802/1737"</f>
        <v>802/1737</v>
      </c>
      <c r="F36" s="6" t="str">
        <f>"2023-10-18"</f>
        <v>2023-10-18</v>
      </c>
      <c r="G36" s="6" t="str">
        <f>"2024-10-18"</f>
        <v>2024-10-18</v>
      </c>
      <c r="H36" s="6" t="str">
        <f>"Oddział Gastroenterologii Dziecięcej"</f>
        <v>Oddział Gastroenterologii Dziecięcej</v>
      </c>
      <c r="I36" s="6" t="str">
        <f t="shared" si="2"/>
        <v>Ascor S.A.</v>
      </c>
      <c r="J36" s="6">
        <v>2017</v>
      </c>
      <c r="K36" s="6">
        <v>4</v>
      </c>
      <c r="L36" s="19"/>
      <c r="M36" s="19"/>
      <c r="N36" s="19"/>
    </row>
    <row r="37" spans="1:14">
      <c r="A37" s="6">
        <v>33</v>
      </c>
      <c r="B37" s="6" t="str">
        <f t="shared" si="4"/>
        <v>Pompa infuzyjna objętościowa (perystaltyczna)</v>
      </c>
      <c r="C37" s="6" t="str">
        <f t="shared" si="5"/>
        <v>AP31</v>
      </c>
      <c r="D37" s="6" t="str">
        <f>"31-01430-2017"</f>
        <v>31-01430-2017</v>
      </c>
      <c r="E37" s="6" t="str">
        <f>"802/1736"</f>
        <v>802/1736</v>
      </c>
      <c r="F37" s="6" t="str">
        <f>"2023-10-18"</f>
        <v>2023-10-18</v>
      </c>
      <c r="G37" s="6" t="str">
        <f>"2024-10-18"</f>
        <v>2024-10-18</v>
      </c>
      <c r="H37" s="6" t="str">
        <f>"Oddział Gastroenterologii Dziecięcej"</f>
        <v>Oddział Gastroenterologii Dziecięcej</v>
      </c>
      <c r="I37" s="6" t="str">
        <f t="shared" si="2"/>
        <v>Ascor S.A.</v>
      </c>
      <c r="J37" s="6">
        <v>2017</v>
      </c>
      <c r="K37" s="6">
        <v>4</v>
      </c>
      <c r="L37" s="19"/>
      <c r="M37" s="19"/>
      <c r="N37" s="19"/>
    </row>
    <row r="38" spans="1:14">
      <c r="A38" s="6">
        <v>34</v>
      </c>
      <c r="B38" s="6" t="str">
        <f t="shared" si="4"/>
        <v>Pompa infuzyjna objętościowa (perystaltyczna)</v>
      </c>
      <c r="C38" s="6" t="str">
        <f t="shared" si="5"/>
        <v>AP31</v>
      </c>
      <c r="D38" s="6" t="str">
        <f>"31-01428-2017"</f>
        <v>31-01428-2017</v>
      </c>
      <c r="E38" s="6" t="str">
        <f>"802/1734"</f>
        <v>802/1734</v>
      </c>
      <c r="F38" s="6" t="str">
        <f>"2024-01-15"</f>
        <v>2024-01-15</v>
      </c>
      <c r="G38" s="6" t="str">
        <f>"2025-01-15"</f>
        <v>2025-01-15</v>
      </c>
      <c r="H38" s="6" t="str">
        <f>"Oddział Ginekologiczny"</f>
        <v>Oddział Ginekologiczny</v>
      </c>
      <c r="I38" s="6" t="str">
        <f t="shared" si="2"/>
        <v>Ascor S.A.</v>
      </c>
      <c r="J38" s="6">
        <v>2017</v>
      </c>
      <c r="K38" s="6">
        <v>4</v>
      </c>
      <c r="L38" s="19"/>
      <c r="M38" s="19"/>
      <c r="N38" s="19"/>
    </row>
    <row r="39" spans="1:14">
      <c r="A39" s="6">
        <v>35</v>
      </c>
      <c r="B39" s="6" t="str">
        <f t="shared" si="4"/>
        <v>Pompa infuzyjna objętościowa (perystaltyczna)</v>
      </c>
      <c r="C39" s="6" t="str">
        <f t="shared" si="5"/>
        <v>AP31</v>
      </c>
      <c r="D39" s="6" t="str">
        <f>"31-01432-2017"</f>
        <v>31-01432-2017</v>
      </c>
      <c r="E39" s="6" t="str">
        <f>"802/1738"</f>
        <v>802/1738</v>
      </c>
      <c r="F39" s="6" t="str">
        <f>"2024-01-15"</f>
        <v>2024-01-15</v>
      </c>
      <c r="G39" s="6" t="str">
        <f>"2025-01-15"</f>
        <v>2025-01-15</v>
      </c>
      <c r="H39" s="6" t="str">
        <f>"Zespół Ratownictwa Medycznego Podstawowy P0222"</f>
        <v>Zespół Ratownictwa Medycznego Podstawowy P0222</v>
      </c>
      <c r="I39" s="6" t="str">
        <f t="shared" si="2"/>
        <v>Ascor S.A.</v>
      </c>
      <c r="J39" s="6">
        <v>2017</v>
      </c>
      <c r="K39" s="6">
        <v>4</v>
      </c>
      <c r="L39" s="19"/>
      <c r="M39" s="19"/>
      <c r="N39" s="19"/>
    </row>
    <row r="40" spans="1:14">
      <c r="A40" s="6">
        <v>36</v>
      </c>
      <c r="B40" s="6" t="str">
        <f t="shared" si="4"/>
        <v>Pompa infuzyjna objętościowa (perystaltyczna)</v>
      </c>
      <c r="C40" s="6" t="str">
        <f>"AP-31P"</f>
        <v>AP-31P</v>
      </c>
      <c r="D40" s="6" t="str">
        <f>"C/0239/97"</f>
        <v>C/0239/97</v>
      </c>
      <c r="E40" s="6" t="str">
        <f>"środek niskocenny"</f>
        <v>środek niskocenny</v>
      </c>
      <c r="F40" s="6" t="str">
        <f>"2024-05-09"</f>
        <v>2024-05-09</v>
      </c>
      <c r="G40" s="6" t="str">
        <f>"2025-05-09"</f>
        <v>2025-05-09</v>
      </c>
      <c r="H40" s="6" t="str">
        <f>"Oddział Anestezjologii i Intensywnej Terapii"</f>
        <v>Oddział Anestezjologii i Intensywnej Terapii</v>
      </c>
      <c r="I40" s="6" t="str">
        <f>"ASCOR S.A."</f>
        <v>ASCOR S.A.</v>
      </c>
      <c r="J40" s="6">
        <v>1997</v>
      </c>
      <c r="K40" s="6">
        <v>4</v>
      </c>
      <c r="L40" s="19"/>
      <c r="M40" s="19"/>
      <c r="N40" s="19"/>
    </row>
    <row r="41" spans="1:14">
      <c r="A41" s="6">
        <v>37</v>
      </c>
      <c r="B41" s="6" t="str">
        <f t="shared" ref="B41:B53" si="6">"Pompa infuzyjna strzykawkowa"</f>
        <v>Pompa infuzyjna strzykawkowa</v>
      </c>
      <c r="C41" s="6" t="str">
        <f>"SEP 11 S"</f>
        <v>SEP 11 S</v>
      </c>
      <c r="D41" s="6" t="str">
        <f>"A/2571/98"</f>
        <v>A/2571/98</v>
      </c>
      <c r="E41" s="6" t="str">
        <f>"802/767"</f>
        <v>802/767</v>
      </c>
      <c r="F41" s="6" t="str">
        <f>"2024-01-15"</f>
        <v>2024-01-15</v>
      </c>
      <c r="G41" s="6" t="str">
        <f>"2025-01-15"</f>
        <v>2025-01-15</v>
      </c>
      <c r="H41" s="6" t="str">
        <f>"Oddział Chirurgii Ogólnej i Naczyniowej"</f>
        <v>Oddział Chirurgii Ogólnej i Naczyniowej</v>
      </c>
      <c r="I41" s="6" t="str">
        <f>"ASCOR S.A."</f>
        <v>ASCOR S.A.</v>
      </c>
      <c r="J41" s="6">
        <v>1998</v>
      </c>
      <c r="K41" s="6">
        <v>4</v>
      </c>
      <c r="L41" s="19"/>
      <c r="M41" s="19"/>
      <c r="N41" s="19"/>
    </row>
    <row r="42" spans="1:14">
      <c r="A42" s="6">
        <v>38</v>
      </c>
      <c r="B42" s="6" t="str">
        <f t="shared" si="6"/>
        <v>Pompa infuzyjna strzykawkowa</v>
      </c>
      <c r="C42" s="6" t="str">
        <f>"SEP 11 S"</f>
        <v>SEP 11 S</v>
      </c>
      <c r="D42" s="6" t="str">
        <f>"A/3699/00"</f>
        <v>A/3699/00</v>
      </c>
      <c r="E42" s="6" t="str">
        <f>"802/240/T"</f>
        <v>802/240/T</v>
      </c>
      <c r="F42" s="6" t="str">
        <f>"2024-01-15"</f>
        <v>2024-01-15</v>
      </c>
      <c r="G42" s="6" t="str">
        <f>"2025-01-15"</f>
        <v>2025-01-15</v>
      </c>
      <c r="H42" s="6" t="str">
        <f>"Oddział Położniczy - Patologia Ciąży"</f>
        <v>Oddział Położniczy - Patologia Ciąży</v>
      </c>
      <c r="I42" s="6" t="str">
        <f>"ASCOR S.A."</f>
        <v>ASCOR S.A.</v>
      </c>
      <c r="J42" s="6">
        <v>2000</v>
      </c>
      <c r="K42" s="6">
        <v>4</v>
      </c>
      <c r="L42" s="19"/>
      <c r="M42" s="19"/>
      <c r="N42" s="19"/>
    </row>
    <row r="43" spans="1:14">
      <c r="A43" s="6">
        <v>39</v>
      </c>
      <c r="B43" s="6" t="str">
        <f t="shared" si="6"/>
        <v>Pompa infuzyjna strzykawkowa</v>
      </c>
      <c r="C43" s="6" t="str">
        <f>"Sep 11s"</f>
        <v>Sep 11s</v>
      </c>
      <c r="D43" s="6" t="str">
        <f>"A/1255/96"</f>
        <v>A/1255/96</v>
      </c>
      <c r="E43" s="6" t="str">
        <f>"802/150/t"</f>
        <v>802/150/t</v>
      </c>
      <c r="F43" s="6" t="str">
        <f>"2024-01-15"</f>
        <v>2024-01-15</v>
      </c>
      <c r="G43" s="6" t="str">
        <f>"2025-01-15"</f>
        <v>2025-01-15</v>
      </c>
      <c r="H43" s="6" t="str">
        <f>"Oddział Chirurgii Dziecięcej"</f>
        <v>Oddział Chirurgii Dziecięcej</v>
      </c>
      <c r="I43" s="6" t="str">
        <f>"Ascor S.A."</f>
        <v>Ascor S.A.</v>
      </c>
      <c r="J43" s="6">
        <v>1996</v>
      </c>
      <c r="K43" s="6">
        <v>4</v>
      </c>
      <c r="L43" s="19"/>
      <c r="M43" s="19"/>
      <c r="N43" s="19"/>
    </row>
    <row r="44" spans="1:14">
      <c r="A44" s="6">
        <v>40</v>
      </c>
      <c r="B44" s="6" t="str">
        <f t="shared" si="6"/>
        <v>Pompa infuzyjna strzykawkowa</v>
      </c>
      <c r="C44" s="6" t="str">
        <f>"Sep 11s"</f>
        <v>Sep 11s</v>
      </c>
      <c r="D44" s="6" t="str">
        <f>"A/1530/97N"</f>
        <v>A/1530/97N</v>
      </c>
      <c r="E44" s="6" t="str">
        <f>"802/227/T"</f>
        <v>802/227/T</v>
      </c>
      <c r="F44" s="6" t="str">
        <f>"2024-01-15"</f>
        <v>2024-01-15</v>
      </c>
      <c r="G44" s="6" t="str">
        <f>"2025-01-15"</f>
        <v>2025-01-15</v>
      </c>
      <c r="H44" s="6" t="str">
        <f>"Oddział Chirurgii Dziecięcej"</f>
        <v>Oddział Chirurgii Dziecięcej</v>
      </c>
      <c r="I44" s="6" t="str">
        <f>"Ascor S.A."</f>
        <v>Ascor S.A.</v>
      </c>
      <c r="J44" s="6">
        <v>1998</v>
      </c>
      <c r="K44" s="6">
        <v>4</v>
      </c>
      <c r="L44" s="19"/>
      <c r="M44" s="19"/>
      <c r="N44" s="19"/>
    </row>
    <row r="45" spans="1:14">
      <c r="A45" s="6">
        <v>41</v>
      </c>
      <c r="B45" s="6" t="str">
        <f t="shared" si="6"/>
        <v>Pompa infuzyjna strzykawkowa</v>
      </c>
      <c r="C45" s="6" t="str">
        <f>"Sep 11s"</f>
        <v>Sep 11s</v>
      </c>
      <c r="D45" s="6" t="str">
        <f>"A/3499"</f>
        <v>A/3499</v>
      </c>
      <c r="E45" s="6" t="str">
        <f>"802/233/T"</f>
        <v>802/233/T</v>
      </c>
      <c r="F45" s="6" t="str">
        <f>"2024-01-15"</f>
        <v>2024-01-15</v>
      </c>
      <c r="G45" s="6" t="str">
        <f>"2025-01-15"</f>
        <v>2025-01-15</v>
      </c>
      <c r="H45" s="6" t="str">
        <f>"Oddział Chorób Dziecięcych"</f>
        <v>Oddział Chorób Dziecięcych</v>
      </c>
      <c r="I45" s="6" t="str">
        <f>"Ascor S.A."</f>
        <v>Ascor S.A.</v>
      </c>
      <c r="J45" s="6">
        <v>2000</v>
      </c>
      <c r="K45" s="6">
        <v>4</v>
      </c>
      <c r="L45" s="19"/>
      <c r="M45" s="19"/>
      <c r="N45" s="19"/>
    </row>
    <row r="46" spans="1:14">
      <c r="A46" s="6">
        <v>42</v>
      </c>
      <c r="B46" s="6" t="str">
        <f t="shared" si="6"/>
        <v>Pompa infuzyjna strzykawkowa</v>
      </c>
      <c r="C46" s="6" t="str">
        <f>"Sep 11s"</f>
        <v>Sep 11s</v>
      </c>
      <c r="D46" s="6" t="str">
        <f>"A/1251/96 "</f>
        <v xml:space="preserve">A/1251/96 </v>
      </c>
      <c r="E46" s="6" t="str">
        <f>"802/264"</f>
        <v>802/264</v>
      </c>
      <c r="F46" s="6" t="str">
        <f>"2023-08-30"</f>
        <v>2023-08-30</v>
      </c>
      <c r="G46" s="6" t="str">
        <f>"2024-08-30"</f>
        <v>2024-08-30</v>
      </c>
      <c r="H46" s="6" t="str">
        <f>"Oddział Chorób Dziecięcych"</f>
        <v>Oddział Chorób Dziecięcych</v>
      </c>
      <c r="I46" s="6" t="str">
        <f>"Ascor S.A."</f>
        <v>Ascor S.A.</v>
      </c>
      <c r="J46" s="6">
        <v>1996</v>
      </c>
      <c r="K46" s="6">
        <v>4</v>
      </c>
      <c r="L46" s="19"/>
      <c r="M46" s="19"/>
      <c r="N46" s="19"/>
    </row>
    <row r="47" spans="1:14">
      <c r="A47" s="6">
        <v>43</v>
      </c>
      <c r="B47" s="6" t="str">
        <f t="shared" si="6"/>
        <v>Pompa infuzyjna strzykawkowa</v>
      </c>
      <c r="C47" s="6" t="str">
        <f>"Sep 11s"</f>
        <v>Sep 11s</v>
      </c>
      <c r="D47" s="6" t="str">
        <f>"A/1254/96"</f>
        <v>A/1254/96</v>
      </c>
      <c r="E47" s="6" t="str">
        <f>"802/151/T"</f>
        <v>802/151/T</v>
      </c>
      <c r="F47" s="6" t="str">
        <f>"2024-01-15"</f>
        <v>2024-01-15</v>
      </c>
      <c r="G47" s="6" t="str">
        <f>"2025-01-15"</f>
        <v>2025-01-15</v>
      </c>
      <c r="H47" s="6" t="str">
        <f>"Oddział Położniczy - Blok Porodowy"</f>
        <v>Oddział Położniczy - Blok Porodowy</v>
      </c>
      <c r="I47" s="6" t="str">
        <f>"Ascor S.A."</f>
        <v>Ascor S.A.</v>
      </c>
      <c r="J47" s="6">
        <v>1996</v>
      </c>
      <c r="K47" s="6">
        <v>4</v>
      </c>
      <c r="L47" s="19"/>
      <c r="M47" s="19"/>
      <c r="N47" s="19"/>
    </row>
    <row r="48" spans="1:14">
      <c r="A48" s="6">
        <v>44</v>
      </c>
      <c r="B48" s="6" t="str">
        <f t="shared" si="6"/>
        <v>Pompa infuzyjna strzykawkowa</v>
      </c>
      <c r="C48" s="6" t="str">
        <f>"SEP 11S ANESTE"</f>
        <v>SEP 11S ANESTE</v>
      </c>
      <c r="D48" s="6" t="str">
        <f>"A/3736/00"</f>
        <v>A/3736/00</v>
      </c>
      <c r="E48" s="6" t="str">
        <f>"802/239/T"</f>
        <v>802/239/T</v>
      </c>
      <c r="F48" s="6" t="str">
        <f>"2024-01-15"</f>
        <v>2024-01-15</v>
      </c>
      <c r="G48" s="6" t="str">
        <f>"2025-01-15"</f>
        <v>2025-01-15</v>
      </c>
      <c r="H48" s="6" t="str">
        <f>"Oddział Położniczy - Patologia Ciąży"</f>
        <v>Oddział Położniczy - Patologia Ciąży</v>
      </c>
      <c r="I48" s="6" t="str">
        <f>"ASCOR S.A."</f>
        <v>ASCOR S.A.</v>
      </c>
      <c r="J48" s="6">
        <v>2000</v>
      </c>
      <c r="K48" s="6">
        <v>4</v>
      </c>
      <c r="L48" s="19"/>
      <c r="M48" s="19"/>
      <c r="N48" s="19"/>
    </row>
    <row r="49" spans="1:14">
      <c r="A49" s="6">
        <v>45</v>
      </c>
      <c r="B49" s="6" t="str">
        <f t="shared" si="6"/>
        <v>Pompa infuzyjna strzykawkowa</v>
      </c>
      <c r="C49" s="6" t="str">
        <f>"SEP 11S ANESTE"</f>
        <v>SEP 11S ANESTE</v>
      </c>
      <c r="D49" s="6" t="str">
        <f>"A/3733/00"</f>
        <v>A/3733/00</v>
      </c>
      <c r="E49" s="6" t="str">
        <f>"802/238/T"</f>
        <v>802/238/T</v>
      </c>
      <c r="F49" s="6" t="str">
        <f>"2022-06-29"</f>
        <v>2022-06-29</v>
      </c>
      <c r="G49" s="6" t="str">
        <f>"2023-06-29"</f>
        <v>2023-06-29</v>
      </c>
      <c r="H49" s="6" t="str">
        <f>"Oddział Położniczy - Patologia Ciąży"</f>
        <v>Oddział Położniczy - Patologia Ciąży</v>
      </c>
      <c r="I49" s="6" t="str">
        <f>"ASCOR S.A."</f>
        <v>ASCOR S.A.</v>
      </c>
      <c r="J49" s="6">
        <v>2000</v>
      </c>
      <c r="K49" s="6">
        <v>4</v>
      </c>
      <c r="L49" s="19"/>
      <c r="M49" s="19"/>
      <c r="N49" s="19"/>
    </row>
    <row r="50" spans="1:14">
      <c r="A50" s="6">
        <v>46</v>
      </c>
      <c r="B50" s="6" t="str">
        <f t="shared" si="6"/>
        <v>Pompa infuzyjna strzykawkowa</v>
      </c>
      <c r="C50" s="6" t="str">
        <f>"SEP 21S"</f>
        <v>SEP 21S</v>
      </c>
      <c r="D50" s="6" t="str">
        <f>"3540 "</f>
        <v xml:space="preserve">3540 </v>
      </c>
      <c r="E50" s="6" t="str">
        <f>"środek niskocenny"</f>
        <v>środek niskocenny</v>
      </c>
      <c r="F50" s="6" t="str">
        <f>"2024-01-15"</f>
        <v>2024-01-15</v>
      </c>
      <c r="G50" s="6" t="str">
        <f>"2025-01-15"</f>
        <v>2025-01-15</v>
      </c>
      <c r="H50" s="6" t="str">
        <f>"Oddział Udarowy"</f>
        <v>Oddział Udarowy</v>
      </c>
      <c r="I50" s="6" t="str">
        <f>"Ascor S.A."</f>
        <v>Ascor S.A.</v>
      </c>
      <c r="J50" s="6">
        <v>2003</v>
      </c>
      <c r="K50" s="6">
        <v>4</v>
      </c>
      <c r="L50" s="19"/>
      <c r="M50" s="19"/>
      <c r="N50" s="19"/>
    </row>
    <row r="51" spans="1:14">
      <c r="A51" s="6">
        <v>47</v>
      </c>
      <c r="B51" s="6" t="str">
        <f t="shared" si="6"/>
        <v>Pompa infuzyjna strzykawkowa</v>
      </c>
      <c r="C51" s="6" t="str">
        <f>"SEP 21S ANESTE"</f>
        <v>SEP 21S ANESTE</v>
      </c>
      <c r="D51" s="6" t="str">
        <f>"B/2623/00"</f>
        <v>B/2623/00</v>
      </c>
      <c r="E51" s="6" t="str">
        <f>"802/235/T"</f>
        <v>802/235/T</v>
      </c>
      <c r="F51" s="6" t="str">
        <f>"2024-01-15"</f>
        <v>2024-01-15</v>
      </c>
      <c r="G51" s="6" t="str">
        <f>"2025-01-15"</f>
        <v>2025-01-15</v>
      </c>
      <c r="H51" s="6" t="str">
        <f>"Oddział Patologii i Intensywnej Terapii Noworodka"</f>
        <v>Oddział Patologii i Intensywnej Terapii Noworodka</v>
      </c>
      <c r="I51" s="6" t="str">
        <f>"Ascor S.A."</f>
        <v>Ascor S.A.</v>
      </c>
      <c r="J51" s="6">
        <v>2000</v>
      </c>
      <c r="K51" s="6">
        <v>4</v>
      </c>
      <c r="L51" s="19"/>
      <c r="M51" s="19"/>
      <c r="N51" s="19"/>
    </row>
    <row r="52" spans="1:14">
      <c r="A52" s="6">
        <v>48</v>
      </c>
      <c r="B52" s="6" t="str">
        <f t="shared" si="6"/>
        <v>Pompa infuzyjna strzykawkowa</v>
      </c>
      <c r="C52" s="6" t="str">
        <f>"SEP 21S ANESTE"</f>
        <v>SEP 21S ANESTE</v>
      </c>
      <c r="D52" s="6" t="str">
        <f>"B/2625/00"</f>
        <v>B/2625/00</v>
      </c>
      <c r="E52" s="6" t="str">
        <f>"802/236/T"</f>
        <v>802/236/T</v>
      </c>
      <c r="F52" s="6" t="str">
        <f>"2023-06-28"</f>
        <v>2023-06-28</v>
      </c>
      <c r="G52" s="6" t="str">
        <f>"2024-06-28"</f>
        <v>2024-06-28</v>
      </c>
      <c r="H52" s="6" t="str">
        <f>"Oddział Patologii i Intensywnej Terapii Noworodka"</f>
        <v>Oddział Patologii i Intensywnej Terapii Noworodka</v>
      </c>
      <c r="I52" s="6" t="str">
        <f>"Ascor S.A."</f>
        <v>Ascor S.A.</v>
      </c>
      <c r="J52" s="6">
        <v>2000</v>
      </c>
      <c r="K52" s="6">
        <v>4</v>
      </c>
      <c r="L52" s="19"/>
      <c r="M52" s="19"/>
      <c r="N52" s="19"/>
    </row>
    <row r="53" spans="1:14">
      <c r="A53" s="6">
        <v>49</v>
      </c>
      <c r="B53" s="6" t="str">
        <f t="shared" si="6"/>
        <v>Pompa infuzyjna strzykawkowa</v>
      </c>
      <c r="C53" s="6" t="str">
        <f>"SEP 21S ANESTE"</f>
        <v>SEP 21S ANESTE</v>
      </c>
      <c r="D53" s="6" t="str">
        <f>"B/2613/00"</f>
        <v>B/2613/00</v>
      </c>
      <c r="E53" s="6" t="str">
        <f>"802/237/T"</f>
        <v>802/237/T</v>
      </c>
      <c r="F53" s="6" t="str">
        <f>"2023-06-02"</f>
        <v>2023-06-02</v>
      </c>
      <c r="G53" s="6" t="str">
        <f>"2024-06-02"</f>
        <v>2024-06-02</v>
      </c>
      <c r="H53" s="6" t="str">
        <f>"Oddział Patologii i Intensywnej Terapii Noworodka"</f>
        <v>Oddział Patologii i Intensywnej Terapii Noworodka</v>
      </c>
      <c r="I53" s="6" t="str">
        <f>"Ascor S.A."</f>
        <v>Ascor S.A.</v>
      </c>
      <c r="J53" s="6">
        <v>2000</v>
      </c>
      <c r="K53" s="6">
        <v>4</v>
      </c>
      <c r="L53" s="19"/>
      <c r="M53" s="19"/>
      <c r="N53" s="19"/>
    </row>
    <row r="54" spans="1:14">
      <c r="A54" s="54" t="s">
        <v>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20"/>
      <c r="N54" s="20"/>
    </row>
    <row r="56" spans="1:14">
      <c r="A56" s="67" t="s">
        <v>13</v>
      </c>
      <c r="B56" s="68"/>
      <c r="C56" s="68"/>
      <c r="D56" s="68"/>
      <c r="E56" s="68"/>
      <c r="F56" s="68"/>
      <c r="G56" s="68"/>
      <c r="H56" s="69"/>
    </row>
    <row r="57" spans="1:14" ht="27">
      <c r="A57" s="1" t="s">
        <v>7</v>
      </c>
      <c r="B57" s="1" t="s">
        <v>11</v>
      </c>
      <c r="C57" s="9" t="s">
        <v>15</v>
      </c>
      <c r="D57" s="9" t="s">
        <v>19</v>
      </c>
      <c r="E57" s="9" t="s">
        <v>18</v>
      </c>
      <c r="F57" s="9" t="s">
        <v>3</v>
      </c>
      <c r="G57" s="9" t="s">
        <v>10</v>
      </c>
      <c r="H57" s="9" t="s">
        <v>5</v>
      </c>
    </row>
    <row r="58" spans="1:14">
      <c r="A58" s="1">
        <v>1</v>
      </c>
      <c r="B58" s="1" t="s">
        <v>16</v>
      </c>
      <c r="C58" s="21" t="s">
        <v>14</v>
      </c>
      <c r="D58" s="21">
        <v>154</v>
      </c>
      <c r="E58" s="2"/>
      <c r="F58" s="2"/>
      <c r="G58" s="10"/>
      <c r="H58" s="2"/>
    </row>
    <row r="59" spans="1:14">
      <c r="A59" s="1"/>
      <c r="B59" s="57" t="s">
        <v>6</v>
      </c>
      <c r="C59" s="57"/>
      <c r="D59" s="57"/>
      <c r="E59" s="57"/>
      <c r="F59" s="11"/>
      <c r="G59" s="11"/>
      <c r="H59" s="11"/>
    </row>
    <row r="60" spans="1:14">
      <c r="A60" s="14"/>
      <c r="I60" s="5"/>
    </row>
    <row r="61" spans="1:14" ht="99.75">
      <c r="A61" s="30"/>
      <c r="B61" s="28" t="s">
        <v>25</v>
      </c>
      <c r="C61" s="28" t="s">
        <v>43</v>
      </c>
      <c r="D61" s="29" t="s">
        <v>30</v>
      </c>
      <c r="E61" s="29" t="s">
        <v>31</v>
      </c>
      <c r="F61" s="29" t="s">
        <v>26</v>
      </c>
      <c r="G61" s="29" t="s">
        <v>27</v>
      </c>
      <c r="H61" s="29" t="s">
        <v>34</v>
      </c>
      <c r="I61" s="29" t="s">
        <v>32</v>
      </c>
      <c r="J61" s="29" t="s">
        <v>33</v>
      </c>
      <c r="K61" s="29" t="s">
        <v>35</v>
      </c>
    </row>
    <row r="62" spans="1:14" ht="50.25" customHeight="1">
      <c r="A62" s="31">
        <v>1</v>
      </c>
      <c r="B62" s="32">
        <v>2</v>
      </c>
      <c r="C62" s="32">
        <v>3</v>
      </c>
      <c r="D62" s="33">
        <v>4</v>
      </c>
      <c r="E62" s="33">
        <v>5</v>
      </c>
      <c r="F62" s="33">
        <v>6</v>
      </c>
      <c r="G62" s="33">
        <v>7</v>
      </c>
      <c r="H62" s="33">
        <v>8</v>
      </c>
      <c r="I62" s="33">
        <v>9</v>
      </c>
      <c r="J62" s="33">
        <v>10</v>
      </c>
      <c r="K62" s="33">
        <v>11</v>
      </c>
    </row>
    <row r="63" spans="1:14">
      <c r="A63" s="30"/>
      <c r="B63" s="25" t="s">
        <v>28</v>
      </c>
      <c r="C63" s="25">
        <v>4</v>
      </c>
      <c r="D63" s="25"/>
      <c r="E63" s="25"/>
      <c r="F63" s="26"/>
      <c r="G63" s="26"/>
      <c r="H63" s="26"/>
      <c r="I63" s="26"/>
      <c r="J63" s="26"/>
      <c r="K63" s="26"/>
    </row>
    <row r="64" spans="1:14">
      <c r="A64" s="30"/>
      <c r="B64" s="17"/>
      <c r="C64" s="17"/>
      <c r="D64" s="17"/>
      <c r="E64" s="17"/>
      <c r="F64" s="58" t="s">
        <v>36</v>
      </c>
      <c r="G64" s="59"/>
      <c r="H64" s="17"/>
      <c r="I64" s="27" t="s">
        <v>37</v>
      </c>
      <c r="J64" s="17" t="s">
        <v>37</v>
      </c>
      <c r="K64" s="17"/>
    </row>
    <row r="65" spans="1:11">
      <c r="A65" s="14"/>
      <c r="I65" s="5"/>
    </row>
    <row r="66" spans="1:11">
      <c r="A66" s="14"/>
      <c r="I66" s="5"/>
    </row>
    <row r="67" spans="1:11" ht="18.75">
      <c r="A67" s="14"/>
      <c r="C67" s="61" t="s">
        <v>38</v>
      </c>
      <c r="D67" s="62"/>
      <c r="E67" s="63"/>
      <c r="F67" s="47" t="s">
        <v>40</v>
      </c>
      <c r="G67" s="47" t="s">
        <v>39</v>
      </c>
      <c r="H67" s="35"/>
      <c r="I67" s="36"/>
      <c r="J67" s="35"/>
      <c r="K67" s="35"/>
    </row>
    <row r="68" spans="1:11" ht="18.75">
      <c r="A68" s="14"/>
      <c r="C68" s="64"/>
      <c r="D68" s="65"/>
      <c r="E68" s="66"/>
      <c r="F68" s="48"/>
      <c r="G68" s="48"/>
      <c r="H68" s="35"/>
      <c r="I68" s="36"/>
      <c r="J68" s="35"/>
      <c r="K68" s="35"/>
    </row>
    <row r="69" spans="1:11" ht="35.25" customHeight="1">
      <c r="A69" s="14"/>
      <c r="I69" s="5"/>
    </row>
    <row r="70" spans="1:11" ht="35.25" customHeight="1">
      <c r="A70" s="14"/>
      <c r="G70" s="60" t="s">
        <v>42</v>
      </c>
      <c r="H70" s="60"/>
      <c r="I70" s="60"/>
      <c r="J70" s="60"/>
    </row>
  </sheetData>
  <mergeCells count="9">
    <mergeCell ref="F64:G64"/>
    <mergeCell ref="C67:E68"/>
    <mergeCell ref="G70:J70"/>
    <mergeCell ref="B2:N2"/>
    <mergeCell ref="K3:N3"/>
    <mergeCell ref="A56:H56"/>
    <mergeCell ref="B59:E59"/>
    <mergeCell ref="A54:L54"/>
    <mergeCell ref="A3:J3"/>
  </mergeCells>
  <pageMargins left="0.17" right="0.17" top="0.74803149606299213" bottom="0.16" header="0.31496062992125984" footer="0.31496062992125984"/>
  <pageSetup paperSize="9" scale="58" fitToHeight="0" orientation="landscape" verticalDpi="0" r:id="rId1"/>
  <headerFooter>
    <oddHeader>&amp;RZałącznik nr 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9"/>
  <sheetViews>
    <sheetView showGridLines="0" topLeftCell="B1" workbookViewId="0">
      <pane ySplit="4" topLeftCell="A38" activePane="bottomLeft" state="frozen"/>
      <selection pane="bottomLeft" activeCell="B2" sqref="B2:L2"/>
    </sheetView>
  </sheetViews>
  <sheetFormatPr defaultRowHeight="15"/>
  <cols>
    <col min="1" max="1" width="5.28515625" customWidth="1"/>
    <col min="2" max="2" width="29.7109375" customWidth="1"/>
    <col min="3" max="3" width="17.7109375" customWidth="1"/>
    <col min="4" max="4" width="14.28515625" customWidth="1"/>
    <col min="5" max="5" width="18" customWidth="1"/>
    <col min="6" max="6" width="49.7109375" customWidth="1"/>
    <col min="7" max="7" width="24.85546875" customWidth="1"/>
    <col min="8" max="8" width="22.5703125" customWidth="1"/>
    <col min="9" max="9" width="14.140625" customWidth="1"/>
    <col min="10" max="10" width="13" customWidth="1"/>
    <col min="11" max="11" width="12.5703125" customWidth="1"/>
    <col min="12" max="12" width="15" customWidth="1"/>
  </cols>
  <sheetData>
    <row r="1" spans="1:12"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46.5" customHeight="1">
      <c r="B2" s="77" t="s">
        <v>46</v>
      </c>
      <c r="C2" s="78"/>
      <c r="D2" s="78"/>
      <c r="E2" s="78"/>
      <c r="F2" s="78"/>
      <c r="G2" s="78"/>
      <c r="H2" s="78"/>
      <c r="I2" s="78"/>
      <c r="J2" s="78"/>
      <c r="K2" s="78"/>
      <c r="L2" s="79"/>
    </row>
    <row r="3" spans="1:12">
      <c r="A3" s="17"/>
      <c r="B3" s="6"/>
      <c r="C3" s="6"/>
      <c r="D3" s="6"/>
      <c r="E3" s="6"/>
      <c r="F3" s="6"/>
      <c r="G3" s="6"/>
      <c r="H3" s="6"/>
      <c r="I3" s="55" t="s">
        <v>8</v>
      </c>
      <c r="J3" s="55"/>
      <c r="K3" s="55"/>
      <c r="L3" s="55"/>
    </row>
    <row r="4" spans="1:12" ht="45">
      <c r="A4" s="22" t="s">
        <v>7</v>
      </c>
      <c r="B4" s="22" t="str">
        <f>"Nazwa urządzenia"</f>
        <v>Nazwa urządzenia</v>
      </c>
      <c r="C4" s="22" t="str">
        <f>"Typ"</f>
        <v>Typ</v>
      </c>
      <c r="D4" s="22" t="str">
        <f>"Nr ser."</f>
        <v>Nr ser.</v>
      </c>
      <c r="E4" s="22" t="str">
        <f>"Nr inw."</f>
        <v>Nr inw.</v>
      </c>
      <c r="F4" s="22" t="str">
        <f>"Komórka organizacyjna"</f>
        <v>Komórka organizacyjna</v>
      </c>
      <c r="G4" s="22" t="str">
        <f>"Producent"</f>
        <v>Producent</v>
      </c>
      <c r="H4" s="22" t="str">
        <f>"Rok prod."</f>
        <v>Rok prod.</v>
      </c>
      <c r="I4" s="16" t="s">
        <v>1</v>
      </c>
      <c r="J4" s="16" t="s">
        <v>2</v>
      </c>
      <c r="K4" s="16" t="s">
        <v>3</v>
      </c>
      <c r="L4" s="16" t="s">
        <v>5</v>
      </c>
    </row>
    <row r="5" spans="1:12">
      <c r="A5" s="6">
        <v>1</v>
      </c>
      <c r="B5" s="6" t="str">
        <f t="shared" ref="B5:B25" si="0">"Pompa infuzyjna strzykawkowa"</f>
        <v>Pompa infuzyjna strzykawkowa</v>
      </c>
      <c r="C5" s="6" t="str">
        <f t="shared" ref="C5:C19" si="1">"DUET 20/50"</f>
        <v>DUET 20/50</v>
      </c>
      <c r="D5" s="6" t="str">
        <f>"13864"</f>
        <v>13864</v>
      </c>
      <c r="E5" s="6" t="str">
        <f>"802/863"</f>
        <v>802/863</v>
      </c>
      <c r="F5" s="6" t="str">
        <f>"Oddział Anestezjologii i Intensywnej Terapii"</f>
        <v>Oddział Anestezjologii i Intensywnej Terapii</v>
      </c>
      <c r="G5" s="6" t="str">
        <f t="shared" ref="G5:G35" si="2">"Kwapisz - Pompy Infuzyjne"</f>
        <v>Kwapisz - Pompy Infuzyjne</v>
      </c>
      <c r="H5" s="6">
        <v>2005</v>
      </c>
      <c r="I5" s="3">
        <v>4</v>
      </c>
      <c r="J5" s="19"/>
      <c r="K5" s="19"/>
      <c r="L5" s="19"/>
    </row>
    <row r="6" spans="1:12">
      <c r="A6" s="6">
        <v>2</v>
      </c>
      <c r="B6" s="6" t="str">
        <f t="shared" si="0"/>
        <v>Pompa infuzyjna strzykawkowa</v>
      </c>
      <c r="C6" s="6" t="str">
        <f t="shared" si="1"/>
        <v>DUET 20/50</v>
      </c>
      <c r="D6" s="6" t="str">
        <f>"14941 "</f>
        <v xml:space="preserve">14941 </v>
      </c>
      <c r="E6" s="6" t="str">
        <f>"802/992"</f>
        <v>802/992</v>
      </c>
      <c r="F6" s="6" t="str">
        <f>"Oddział Chirurgii Ogólnej i Naczyniowej"</f>
        <v>Oddział Chirurgii Ogólnej i Naczyniowej</v>
      </c>
      <c r="G6" s="6" t="str">
        <f t="shared" si="2"/>
        <v>Kwapisz - Pompy Infuzyjne</v>
      </c>
      <c r="H6" s="6">
        <v>2008</v>
      </c>
      <c r="I6" s="3">
        <v>4</v>
      </c>
      <c r="J6" s="19"/>
      <c r="K6" s="19"/>
      <c r="L6" s="19"/>
    </row>
    <row r="7" spans="1:12">
      <c r="A7" s="6">
        <v>3</v>
      </c>
      <c r="B7" s="6" t="str">
        <f t="shared" si="0"/>
        <v>Pompa infuzyjna strzykawkowa</v>
      </c>
      <c r="C7" s="6" t="str">
        <f t="shared" si="1"/>
        <v>DUET 20/50</v>
      </c>
      <c r="D7" s="6" t="str">
        <f>"14943 "</f>
        <v xml:space="preserve">14943 </v>
      </c>
      <c r="E7" s="6" t="str">
        <f>"802/994"</f>
        <v>802/994</v>
      </c>
      <c r="F7" s="6" t="str">
        <f>"Oddział Chirurgii Ogólnej i Naczyniowej"</f>
        <v>Oddział Chirurgii Ogólnej i Naczyniowej</v>
      </c>
      <c r="G7" s="6" t="str">
        <f t="shared" si="2"/>
        <v>Kwapisz - Pompy Infuzyjne</v>
      </c>
      <c r="H7" s="6">
        <v>2008</v>
      </c>
      <c r="I7" s="3">
        <v>4</v>
      </c>
      <c r="J7" s="19"/>
      <c r="K7" s="19"/>
      <c r="L7" s="19"/>
    </row>
    <row r="8" spans="1:12">
      <c r="A8" s="6">
        <v>4</v>
      </c>
      <c r="B8" s="6" t="str">
        <f t="shared" si="0"/>
        <v>Pompa infuzyjna strzykawkowa</v>
      </c>
      <c r="C8" s="6" t="str">
        <f t="shared" si="1"/>
        <v>DUET 20/50</v>
      </c>
      <c r="D8" s="6" t="str">
        <f>"12263 "</f>
        <v xml:space="preserve">12263 </v>
      </c>
      <c r="E8" s="6" t="str">
        <f>"802/27/P"</f>
        <v>802/27/P</v>
      </c>
      <c r="F8" s="6" t="str">
        <f>"Oddział Chorób Wewnętrznych I"</f>
        <v>Oddział Chorób Wewnętrznych I</v>
      </c>
      <c r="G8" s="6" t="str">
        <f t="shared" si="2"/>
        <v>Kwapisz - Pompy Infuzyjne</v>
      </c>
      <c r="H8" s="6">
        <v>1999</v>
      </c>
      <c r="I8" s="3">
        <v>4</v>
      </c>
      <c r="J8" s="19"/>
      <c r="K8" s="19"/>
      <c r="L8" s="19"/>
    </row>
    <row r="9" spans="1:12">
      <c r="A9" s="6">
        <v>5</v>
      </c>
      <c r="B9" s="6" t="str">
        <f t="shared" si="0"/>
        <v>Pompa infuzyjna strzykawkowa</v>
      </c>
      <c r="C9" s="6" t="str">
        <f t="shared" si="1"/>
        <v>DUET 20/50</v>
      </c>
      <c r="D9" s="6" t="str">
        <f>"14935 "</f>
        <v xml:space="preserve">14935 </v>
      </c>
      <c r="E9" s="6" t="str">
        <f>"802/986"</f>
        <v>802/986</v>
      </c>
      <c r="F9" s="6" t="str">
        <f>"Oddział Chorób Wewnętrznych II ''A''"</f>
        <v>Oddział Chorób Wewnętrznych II ''A''</v>
      </c>
      <c r="G9" s="6" t="str">
        <f t="shared" si="2"/>
        <v>Kwapisz - Pompy Infuzyjne</v>
      </c>
      <c r="H9" s="6">
        <v>2008</v>
      </c>
      <c r="I9" s="3">
        <v>4</v>
      </c>
      <c r="J9" s="19"/>
      <c r="K9" s="19"/>
      <c r="L9" s="19"/>
    </row>
    <row r="10" spans="1:12">
      <c r="A10" s="6">
        <v>6</v>
      </c>
      <c r="B10" s="6" t="str">
        <f t="shared" si="0"/>
        <v>Pompa infuzyjna strzykawkowa</v>
      </c>
      <c r="C10" s="6" t="str">
        <f t="shared" si="1"/>
        <v>DUET 20/50</v>
      </c>
      <c r="D10" s="6" t="str">
        <f>"14944 "</f>
        <v xml:space="preserve">14944 </v>
      </c>
      <c r="E10" s="6" t="str">
        <f>"802/995"</f>
        <v>802/995</v>
      </c>
      <c r="F10" s="6" t="str">
        <f>"Oddział Chorób Wewnętrznych II ''A''"</f>
        <v>Oddział Chorób Wewnętrznych II ''A''</v>
      </c>
      <c r="G10" s="6" t="str">
        <f t="shared" si="2"/>
        <v>Kwapisz - Pompy Infuzyjne</v>
      </c>
      <c r="H10" s="6">
        <v>2008</v>
      </c>
      <c r="I10" s="3">
        <v>4</v>
      </c>
      <c r="J10" s="19"/>
      <c r="K10" s="19"/>
      <c r="L10" s="19"/>
    </row>
    <row r="11" spans="1:12">
      <c r="A11" s="6">
        <v>7</v>
      </c>
      <c r="B11" s="6" t="str">
        <f t="shared" si="0"/>
        <v>Pompa infuzyjna strzykawkowa</v>
      </c>
      <c r="C11" s="6" t="str">
        <f t="shared" si="1"/>
        <v>DUET 20/50</v>
      </c>
      <c r="D11" s="6" t="str">
        <f>"14945 "</f>
        <v xml:space="preserve">14945 </v>
      </c>
      <c r="E11" s="6" t="str">
        <f>"802/996"</f>
        <v>802/996</v>
      </c>
      <c r="F11" s="6" t="str">
        <f>"Oddział Chorób Wewnętrznych II ''A''"</f>
        <v>Oddział Chorób Wewnętrznych II ''A''</v>
      </c>
      <c r="G11" s="6" t="str">
        <f t="shared" si="2"/>
        <v>Kwapisz - Pompy Infuzyjne</v>
      </c>
      <c r="H11" s="6">
        <v>2008</v>
      </c>
      <c r="I11" s="3">
        <v>4</v>
      </c>
      <c r="J11" s="19"/>
      <c r="K11" s="19"/>
      <c r="L11" s="19"/>
    </row>
    <row r="12" spans="1:12">
      <c r="A12" s="6">
        <v>8</v>
      </c>
      <c r="B12" s="6" t="str">
        <f t="shared" si="0"/>
        <v>Pompa infuzyjna strzykawkowa</v>
      </c>
      <c r="C12" s="6" t="str">
        <f t="shared" si="1"/>
        <v>DUET 20/50</v>
      </c>
      <c r="D12" s="6" t="str">
        <f>"14934 "</f>
        <v xml:space="preserve">14934 </v>
      </c>
      <c r="E12" s="6" t="str">
        <f>"802/985"</f>
        <v>802/985</v>
      </c>
      <c r="F12" s="6" t="str">
        <f>"Oddział Gastroenterologiczny"</f>
        <v>Oddział Gastroenterologiczny</v>
      </c>
      <c r="G12" s="6" t="str">
        <f t="shared" si="2"/>
        <v>Kwapisz - Pompy Infuzyjne</v>
      </c>
      <c r="H12" s="6">
        <v>2008</v>
      </c>
      <c r="I12" s="3">
        <v>4</v>
      </c>
      <c r="J12" s="19"/>
      <c r="K12" s="19"/>
      <c r="L12" s="19"/>
    </row>
    <row r="13" spans="1:12">
      <c r="A13" s="6">
        <v>9</v>
      </c>
      <c r="B13" s="6" t="str">
        <f t="shared" si="0"/>
        <v>Pompa infuzyjna strzykawkowa</v>
      </c>
      <c r="C13" s="6" t="str">
        <f t="shared" si="1"/>
        <v>DUET 20/50</v>
      </c>
      <c r="D13" s="6" t="str">
        <f>"14948 "</f>
        <v xml:space="preserve">14948 </v>
      </c>
      <c r="E13" s="6" t="str">
        <f>"802/984"</f>
        <v>802/984</v>
      </c>
      <c r="F13" s="6" t="str">
        <f>"Oddział Neurologiczny"</f>
        <v>Oddział Neurologiczny</v>
      </c>
      <c r="G13" s="6" t="str">
        <f t="shared" si="2"/>
        <v>Kwapisz - Pompy Infuzyjne</v>
      </c>
      <c r="H13" s="6">
        <v>2008</v>
      </c>
      <c r="I13" s="3">
        <v>4</v>
      </c>
      <c r="J13" s="19"/>
      <c r="K13" s="19"/>
      <c r="L13" s="19"/>
    </row>
    <row r="14" spans="1:12">
      <c r="A14" s="6">
        <v>10</v>
      </c>
      <c r="B14" s="6" t="str">
        <f t="shared" si="0"/>
        <v>Pompa infuzyjna strzykawkowa</v>
      </c>
      <c r="C14" s="6" t="str">
        <f t="shared" si="1"/>
        <v>DUET 20/50</v>
      </c>
      <c r="D14" s="6" t="str">
        <f>"14938 "</f>
        <v xml:space="preserve">14938 </v>
      </c>
      <c r="E14" s="6" t="str">
        <f>"802/989"</f>
        <v>802/989</v>
      </c>
      <c r="F14" s="6" t="str">
        <f>"Oddział Udarowy"</f>
        <v>Oddział Udarowy</v>
      </c>
      <c r="G14" s="6" t="str">
        <f t="shared" si="2"/>
        <v>Kwapisz - Pompy Infuzyjne</v>
      </c>
      <c r="H14" s="6">
        <v>2008</v>
      </c>
      <c r="I14" s="3">
        <v>4</v>
      </c>
      <c r="J14" s="19"/>
      <c r="K14" s="19"/>
      <c r="L14" s="19"/>
    </row>
    <row r="15" spans="1:12">
      <c r="A15" s="6">
        <v>11</v>
      </c>
      <c r="B15" s="6" t="str">
        <f t="shared" si="0"/>
        <v>Pompa infuzyjna strzykawkowa</v>
      </c>
      <c r="C15" s="6" t="str">
        <f t="shared" si="1"/>
        <v>DUET 20/50</v>
      </c>
      <c r="D15" s="6" t="str">
        <f>"14936 "</f>
        <v xml:space="preserve">14936 </v>
      </c>
      <c r="E15" s="6" t="str">
        <f>"802/987"</f>
        <v>802/987</v>
      </c>
      <c r="F15" s="6" t="str">
        <f>"Oddział Udarowy"</f>
        <v>Oddział Udarowy</v>
      </c>
      <c r="G15" s="6" t="str">
        <f t="shared" si="2"/>
        <v>Kwapisz - Pompy Infuzyjne</v>
      </c>
      <c r="H15" s="6">
        <v>2008</v>
      </c>
      <c r="I15" s="3">
        <v>4</v>
      </c>
      <c r="J15" s="19"/>
      <c r="K15" s="19"/>
      <c r="L15" s="19"/>
    </row>
    <row r="16" spans="1:12">
      <c r="A16" s="6">
        <v>12</v>
      </c>
      <c r="B16" s="6" t="str">
        <f t="shared" si="0"/>
        <v>Pompa infuzyjna strzykawkowa</v>
      </c>
      <c r="C16" s="6" t="str">
        <f t="shared" si="1"/>
        <v>DUET 20/50</v>
      </c>
      <c r="D16" s="6" t="str">
        <f>"14939A"</f>
        <v>14939A</v>
      </c>
      <c r="E16" s="6" t="str">
        <f>"802/990"</f>
        <v>802/990</v>
      </c>
      <c r="F16" s="6" t="str">
        <f>"Oddział Udarowy"</f>
        <v>Oddział Udarowy</v>
      </c>
      <c r="G16" s="6" t="str">
        <f t="shared" si="2"/>
        <v>Kwapisz - Pompy Infuzyjne</v>
      </c>
      <c r="H16" s="6">
        <v>2015</v>
      </c>
      <c r="I16" s="3">
        <v>4</v>
      </c>
      <c r="J16" s="19"/>
      <c r="K16" s="19"/>
      <c r="L16" s="19"/>
    </row>
    <row r="17" spans="1:12">
      <c r="A17" s="6">
        <v>13</v>
      </c>
      <c r="B17" s="6" t="str">
        <f t="shared" si="0"/>
        <v>Pompa infuzyjna strzykawkowa</v>
      </c>
      <c r="C17" s="6" t="str">
        <f t="shared" si="1"/>
        <v>DUET 20/50</v>
      </c>
      <c r="D17" s="6" t="str">
        <f>"14942 "</f>
        <v xml:space="preserve">14942 </v>
      </c>
      <c r="E17" s="6" t="str">
        <f>"802/993"</f>
        <v>802/993</v>
      </c>
      <c r="F17" s="6" t="str">
        <f>"Oddział Udarowy"</f>
        <v>Oddział Udarowy</v>
      </c>
      <c r="G17" s="6" t="str">
        <f t="shared" si="2"/>
        <v>Kwapisz - Pompy Infuzyjne</v>
      </c>
      <c r="H17" s="6">
        <v>2008</v>
      </c>
      <c r="I17" s="3">
        <v>4</v>
      </c>
      <c r="J17" s="19"/>
      <c r="K17" s="19"/>
      <c r="L17" s="19"/>
    </row>
    <row r="18" spans="1:12">
      <c r="A18" s="6">
        <v>14</v>
      </c>
      <c r="B18" s="6" t="str">
        <f t="shared" si="0"/>
        <v>Pompa infuzyjna strzykawkowa</v>
      </c>
      <c r="C18" s="6" t="str">
        <f t="shared" si="1"/>
        <v>DUET 20/50</v>
      </c>
      <c r="D18" s="6" t="str">
        <f>"14937A"</f>
        <v>14937A</v>
      </c>
      <c r="E18" s="6" t="str">
        <f>"802/988"</f>
        <v>802/988</v>
      </c>
      <c r="F18" s="6" t="str">
        <f>"Szpitalny Oddział Ratunkowy"</f>
        <v>Szpitalny Oddział Ratunkowy</v>
      </c>
      <c r="G18" s="6" t="str">
        <f t="shared" si="2"/>
        <v>Kwapisz - Pompy Infuzyjne</v>
      </c>
      <c r="H18" s="6">
        <v>2015</v>
      </c>
      <c r="I18" s="3">
        <v>4</v>
      </c>
      <c r="J18" s="19"/>
      <c r="K18" s="19"/>
      <c r="L18" s="19"/>
    </row>
    <row r="19" spans="1:12">
      <c r="A19" s="6">
        <v>15</v>
      </c>
      <c r="B19" s="6" t="str">
        <f t="shared" si="0"/>
        <v>Pompa infuzyjna strzykawkowa</v>
      </c>
      <c r="C19" s="6" t="str">
        <f t="shared" si="1"/>
        <v>DUET 20/50</v>
      </c>
      <c r="D19" s="6" t="str">
        <f>"14940 "</f>
        <v xml:space="preserve">14940 </v>
      </c>
      <c r="E19" s="6" t="str">
        <f>"802/991"</f>
        <v>802/991</v>
      </c>
      <c r="F19" s="6" t="str">
        <f>"Szpitalny Oddział Ratunkowy"</f>
        <v>Szpitalny Oddział Ratunkowy</v>
      </c>
      <c r="G19" s="6" t="str">
        <f t="shared" si="2"/>
        <v>Kwapisz - Pompy Infuzyjne</v>
      </c>
      <c r="H19" s="6">
        <v>2008</v>
      </c>
      <c r="I19" s="3">
        <v>4</v>
      </c>
      <c r="J19" s="19"/>
      <c r="K19" s="19"/>
      <c r="L19" s="19"/>
    </row>
    <row r="20" spans="1:12">
      <c r="A20" s="6">
        <v>16</v>
      </c>
      <c r="B20" s="6" t="str">
        <f t="shared" si="0"/>
        <v>Pompa infuzyjna strzykawkowa</v>
      </c>
      <c r="C20" s="6" t="str">
        <f t="shared" ref="C20:C25" si="3">"Duet Nowa 20/50"</f>
        <v>Duet Nowa 20/50</v>
      </c>
      <c r="D20" s="6" t="str">
        <f>"10003"</f>
        <v>10003</v>
      </c>
      <c r="E20" s="6" t="str">
        <f>"802/562"</f>
        <v>802/562</v>
      </c>
      <c r="F20" s="6" t="str">
        <f>"Oddział Anestezjologii i Intensywnej Terapii"</f>
        <v>Oddział Anestezjologii i Intensywnej Terapii</v>
      </c>
      <c r="G20" s="6" t="str">
        <f t="shared" si="2"/>
        <v>Kwapisz - Pompy Infuzyjne</v>
      </c>
      <c r="H20" s="6">
        <v>1994</v>
      </c>
      <c r="I20" s="3">
        <v>4</v>
      </c>
      <c r="J20" s="19"/>
      <c r="K20" s="19"/>
      <c r="L20" s="19"/>
    </row>
    <row r="21" spans="1:12">
      <c r="A21" s="6">
        <v>17</v>
      </c>
      <c r="B21" s="6" t="str">
        <f t="shared" si="0"/>
        <v>Pompa infuzyjna strzykawkowa</v>
      </c>
      <c r="C21" s="6" t="str">
        <f t="shared" si="3"/>
        <v>Duet Nowa 20/50</v>
      </c>
      <c r="D21" s="6" t="str">
        <f>"10427"</f>
        <v>10427</v>
      </c>
      <c r="E21" s="6" t="str">
        <f>"802/147/T"</f>
        <v>802/147/T</v>
      </c>
      <c r="F21" s="6" t="str">
        <f>"Oddział Chorób Wewnętrznych I"</f>
        <v>Oddział Chorób Wewnętrznych I</v>
      </c>
      <c r="G21" s="6" t="str">
        <f t="shared" si="2"/>
        <v>Kwapisz - Pompy Infuzyjne</v>
      </c>
      <c r="H21" s="6">
        <v>1996</v>
      </c>
      <c r="I21" s="3">
        <v>4</v>
      </c>
      <c r="J21" s="19"/>
      <c r="K21" s="19"/>
      <c r="L21" s="19"/>
    </row>
    <row r="22" spans="1:12">
      <c r="A22" s="6">
        <v>18</v>
      </c>
      <c r="B22" s="6" t="str">
        <f t="shared" si="0"/>
        <v>Pompa infuzyjna strzykawkowa</v>
      </c>
      <c r="C22" s="6" t="str">
        <f t="shared" si="3"/>
        <v>Duet Nowa 20/50</v>
      </c>
      <c r="D22" s="6" t="str">
        <f>"12353"</f>
        <v>12353</v>
      </c>
      <c r="E22" s="6" t="str">
        <f>"802/770"</f>
        <v>802/770</v>
      </c>
      <c r="F22" s="6" t="str">
        <f>"Oddział Chorób Wewnętrznych II ''A''"</f>
        <v>Oddział Chorób Wewnętrznych II ''A''</v>
      </c>
      <c r="G22" s="6" t="str">
        <f t="shared" si="2"/>
        <v>Kwapisz - Pompy Infuzyjne</v>
      </c>
      <c r="H22" s="6">
        <v>2000</v>
      </c>
      <c r="I22" s="3">
        <v>4</v>
      </c>
      <c r="J22" s="19"/>
      <c r="K22" s="19"/>
      <c r="L22" s="19"/>
    </row>
    <row r="23" spans="1:12">
      <c r="A23" s="6">
        <v>19</v>
      </c>
      <c r="B23" s="6" t="str">
        <f t="shared" si="0"/>
        <v>Pompa infuzyjna strzykawkowa</v>
      </c>
      <c r="C23" s="6" t="str">
        <f t="shared" si="3"/>
        <v>Duet Nowa 20/50</v>
      </c>
      <c r="D23" s="6" t="str">
        <f>"11391"</f>
        <v>11391</v>
      </c>
      <c r="E23" s="6" t="str">
        <f>"802/685"</f>
        <v>802/685</v>
      </c>
      <c r="F23" s="6" t="str">
        <f>"Oddział Gastroenterologiczny"</f>
        <v>Oddział Gastroenterologiczny</v>
      </c>
      <c r="G23" s="6" t="str">
        <f t="shared" si="2"/>
        <v>Kwapisz - Pompy Infuzyjne</v>
      </c>
      <c r="H23" s="6">
        <v>1998</v>
      </c>
      <c r="I23" s="3">
        <v>4</v>
      </c>
      <c r="J23" s="19"/>
      <c r="K23" s="19"/>
      <c r="L23" s="19"/>
    </row>
    <row r="24" spans="1:12">
      <c r="A24" s="6">
        <v>20</v>
      </c>
      <c r="B24" s="6" t="str">
        <f t="shared" si="0"/>
        <v>Pompa infuzyjna strzykawkowa</v>
      </c>
      <c r="C24" s="6" t="str">
        <f t="shared" si="3"/>
        <v>Duet Nowa 20/50</v>
      </c>
      <c r="D24" s="6" t="str">
        <f>"11383"</f>
        <v>11383</v>
      </c>
      <c r="E24" s="6" t="str">
        <f>"802/686"</f>
        <v>802/686</v>
      </c>
      <c r="F24" s="6" t="str">
        <f>"Oddział Gastroenterologiczny"</f>
        <v>Oddział Gastroenterologiczny</v>
      </c>
      <c r="G24" s="6" t="str">
        <f t="shared" si="2"/>
        <v>Kwapisz - Pompy Infuzyjne</v>
      </c>
      <c r="H24" s="6">
        <v>1998</v>
      </c>
      <c r="I24" s="3">
        <v>4</v>
      </c>
      <c r="J24" s="19"/>
      <c r="K24" s="19"/>
      <c r="L24" s="19"/>
    </row>
    <row r="25" spans="1:12">
      <c r="A25" s="6">
        <v>21</v>
      </c>
      <c r="B25" s="6" t="str">
        <f t="shared" si="0"/>
        <v>Pompa infuzyjna strzykawkowa</v>
      </c>
      <c r="C25" s="6" t="str">
        <f t="shared" si="3"/>
        <v>Duet Nowa 20/50</v>
      </c>
      <c r="D25" s="6" t="str">
        <f>"11619"</f>
        <v>11619</v>
      </c>
      <c r="E25" s="6" t="str">
        <f>"802/709"</f>
        <v>802/709</v>
      </c>
      <c r="F25" s="6" t="str">
        <f>"Pracownia Hemodynamiki"</f>
        <v>Pracownia Hemodynamiki</v>
      </c>
      <c r="G25" s="6" t="str">
        <f t="shared" si="2"/>
        <v>Kwapisz - Pompy Infuzyjne</v>
      </c>
      <c r="H25" s="6">
        <v>1998</v>
      </c>
      <c r="I25" s="3">
        <v>4</v>
      </c>
      <c r="J25" s="19"/>
      <c r="K25" s="19"/>
      <c r="L25" s="19"/>
    </row>
    <row r="26" spans="1:12">
      <c r="A26" s="6">
        <v>22</v>
      </c>
      <c r="B26" s="6" t="str">
        <f t="shared" ref="B26:B35" si="4">"Pompa infuzyjna strzykawkowa"</f>
        <v>Pompa infuzyjna strzykawkowa</v>
      </c>
      <c r="C26" s="6" t="str">
        <f t="shared" ref="C26:C35" si="5">"Mono 20/50"</f>
        <v>Mono 20/50</v>
      </c>
      <c r="D26" s="6" t="str">
        <f>"4026"</f>
        <v>4026</v>
      </c>
      <c r="E26" s="6" t="str">
        <f>"środek niskocenny"</f>
        <v>środek niskocenny</v>
      </c>
      <c r="F26" s="6" t="str">
        <f>"Oddział Chorób Wewnętrznych II ''A''"</f>
        <v>Oddział Chorób Wewnętrznych II ''A''</v>
      </c>
      <c r="G26" s="6" t="str">
        <f t="shared" si="2"/>
        <v>Kwapisz - Pompy Infuzyjne</v>
      </c>
      <c r="H26" s="6">
        <v>2000</v>
      </c>
      <c r="I26" s="3">
        <v>4</v>
      </c>
      <c r="J26" s="19"/>
      <c r="K26" s="19"/>
      <c r="L26" s="19"/>
    </row>
    <row r="27" spans="1:12">
      <c r="A27" s="6">
        <v>23</v>
      </c>
      <c r="B27" s="6" t="str">
        <f t="shared" si="4"/>
        <v>Pompa infuzyjna strzykawkowa</v>
      </c>
      <c r="C27" s="6" t="str">
        <f t="shared" si="5"/>
        <v>Mono 20/50</v>
      </c>
      <c r="D27" s="6" t="str">
        <f>"4641"</f>
        <v>4641</v>
      </c>
      <c r="E27" s="6" t="str">
        <f>"802/952"</f>
        <v>802/952</v>
      </c>
      <c r="F27" s="6" t="str">
        <f>"Oddział Anestezjologii i Intensywnej Terapii"</f>
        <v>Oddział Anestezjologii i Intensywnej Terapii</v>
      </c>
      <c r="G27" s="6" t="str">
        <f t="shared" si="2"/>
        <v>Kwapisz - Pompy Infuzyjne</v>
      </c>
      <c r="H27" s="6">
        <v>2008</v>
      </c>
      <c r="I27" s="3">
        <v>4</v>
      </c>
      <c r="J27" s="19"/>
      <c r="K27" s="19"/>
      <c r="L27" s="19"/>
    </row>
    <row r="28" spans="1:12">
      <c r="A28" s="6">
        <v>24</v>
      </c>
      <c r="B28" s="6" t="str">
        <f t="shared" si="4"/>
        <v>Pompa infuzyjna strzykawkowa</v>
      </c>
      <c r="C28" s="6" t="str">
        <f t="shared" si="5"/>
        <v>Mono 20/50</v>
      </c>
      <c r="D28" s="6" t="str">
        <f>"4393"</f>
        <v>4393</v>
      </c>
      <c r="E28" s="6" t="str">
        <f>"środek niskocenny"</f>
        <v>środek niskocenny</v>
      </c>
      <c r="F28" s="6" t="str">
        <f>"Oddział Chirurgii Ogólnej i Przewodu Pokarmowego"</f>
        <v>Oddział Chirurgii Ogólnej i Przewodu Pokarmowego</v>
      </c>
      <c r="G28" s="6" t="str">
        <f t="shared" si="2"/>
        <v>Kwapisz - Pompy Infuzyjne</v>
      </c>
      <c r="H28" s="6">
        <v>2005</v>
      </c>
      <c r="I28" s="3">
        <v>4</v>
      </c>
      <c r="J28" s="19"/>
      <c r="K28" s="19"/>
      <c r="L28" s="19"/>
    </row>
    <row r="29" spans="1:12">
      <c r="A29" s="6">
        <v>25</v>
      </c>
      <c r="B29" s="6" t="str">
        <f t="shared" si="4"/>
        <v>Pompa infuzyjna strzykawkowa</v>
      </c>
      <c r="C29" s="6" t="str">
        <f t="shared" si="5"/>
        <v>Mono 20/50</v>
      </c>
      <c r="D29" s="6" t="str">
        <f>"4394"</f>
        <v>4394</v>
      </c>
      <c r="E29" s="6" t="str">
        <f>"środek niskocenny"</f>
        <v>środek niskocenny</v>
      </c>
      <c r="F29" s="6" t="str">
        <f>"Oddział Chirurgii Ogólnej i Przewodu Pokarmowego"</f>
        <v>Oddział Chirurgii Ogólnej i Przewodu Pokarmowego</v>
      </c>
      <c r="G29" s="6" t="str">
        <f t="shared" si="2"/>
        <v>Kwapisz - Pompy Infuzyjne</v>
      </c>
      <c r="H29" s="6">
        <v>2005</v>
      </c>
      <c r="I29" s="3">
        <v>4</v>
      </c>
      <c r="J29" s="19"/>
      <c r="K29" s="19"/>
      <c r="L29" s="19"/>
    </row>
    <row r="30" spans="1:12">
      <c r="A30" s="6">
        <v>26</v>
      </c>
      <c r="B30" s="6" t="str">
        <f t="shared" si="4"/>
        <v>Pompa infuzyjna strzykawkowa</v>
      </c>
      <c r="C30" s="6" t="str">
        <f t="shared" si="5"/>
        <v>Mono 20/50</v>
      </c>
      <c r="D30" s="6" t="str">
        <f>"4196"</f>
        <v>4196</v>
      </c>
      <c r="E30" s="6" t="str">
        <f>"802/824"</f>
        <v>802/824</v>
      </c>
      <c r="F30" s="6" t="str">
        <f>"Oddział Chirurgii Ogólnej i Przewodu Pokarmowego"</f>
        <v>Oddział Chirurgii Ogólnej i Przewodu Pokarmowego</v>
      </c>
      <c r="G30" s="6" t="str">
        <f t="shared" si="2"/>
        <v>Kwapisz - Pompy Infuzyjne</v>
      </c>
      <c r="H30" s="6">
        <v>2003</v>
      </c>
      <c r="I30" s="3">
        <v>4</v>
      </c>
      <c r="J30" s="19"/>
      <c r="K30" s="19"/>
      <c r="L30" s="19"/>
    </row>
    <row r="31" spans="1:12">
      <c r="A31" s="6">
        <v>27</v>
      </c>
      <c r="B31" s="6" t="str">
        <f t="shared" si="4"/>
        <v>Pompa infuzyjna strzykawkowa</v>
      </c>
      <c r="C31" s="6" t="str">
        <f t="shared" si="5"/>
        <v>Mono 20/50</v>
      </c>
      <c r="D31" s="6" t="str">
        <f>"4328"</f>
        <v>4328</v>
      </c>
      <c r="E31" s="6" t="str">
        <f>"środek niskocenny"</f>
        <v>środek niskocenny</v>
      </c>
      <c r="F31" s="6" t="str">
        <f>"Oddział Chorób Wewnętrznych II ''B''"</f>
        <v>Oddział Chorób Wewnętrznych II ''B''</v>
      </c>
      <c r="G31" s="6" t="str">
        <f t="shared" si="2"/>
        <v>Kwapisz - Pompy Infuzyjne</v>
      </c>
      <c r="H31" s="6">
        <v>2004</v>
      </c>
      <c r="I31" s="3">
        <v>4</v>
      </c>
      <c r="J31" s="19"/>
      <c r="K31" s="19"/>
      <c r="L31" s="19"/>
    </row>
    <row r="32" spans="1:12">
      <c r="A32" s="6">
        <v>28</v>
      </c>
      <c r="B32" s="6" t="str">
        <f t="shared" si="4"/>
        <v>Pompa infuzyjna strzykawkowa</v>
      </c>
      <c r="C32" s="6" t="str">
        <f t="shared" si="5"/>
        <v>Mono 20/50</v>
      </c>
      <c r="D32" s="6" t="str">
        <f>"4346"</f>
        <v>4346</v>
      </c>
      <c r="E32" s="6" t="str">
        <f>"środek niskocenny"</f>
        <v>środek niskocenny</v>
      </c>
      <c r="F32" s="6" t="str">
        <f>"Oddział Chorób Wewnętrznych II ''B''"</f>
        <v>Oddział Chorób Wewnętrznych II ''B''</v>
      </c>
      <c r="G32" s="6" t="str">
        <f t="shared" si="2"/>
        <v>Kwapisz - Pompy Infuzyjne</v>
      </c>
      <c r="H32" s="6">
        <v>2004</v>
      </c>
      <c r="I32" s="3">
        <v>4</v>
      </c>
      <c r="J32" s="19"/>
      <c r="K32" s="19"/>
      <c r="L32" s="19"/>
    </row>
    <row r="33" spans="1:12">
      <c r="A33" s="6">
        <v>29</v>
      </c>
      <c r="B33" s="6" t="str">
        <f t="shared" si="4"/>
        <v>Pompa infuzyjna strzykawkowa</v>
      </c>
      <c r="C33" s="6" t="str">
        <f t="shared" si="5"/>
        <v>Mono 20/50</v>
      </c>
      <c r="D33" s="6" t="str">
        <f>"4210"</f>
        <v>4210</v>
      </c>
      <c r="E33" s="6" t="str">
        <f>"802/822"</f>
        <v>802/822</v>
      </c>
      <c r="F33" s="6" t="str">
        <f>"Oddział Neurochirurgiczny"</f>
        <v>Oddział Neurochirurgiczny</v>
      </c>
      <c r="G33" s="6" t="str">
        <f t="shared" si="2"/>
        <v>Kwapisz - Pompy Infuzyjne</v>
      </c>
      <c r="H33" s="6">
        <v>2003</v>
      </c>
      <c r="I33" s="3">
        <v>4</v>
      </c>
      <c r="J33" s="19"/>
      <c r="K33" s="19"/>
      <c r="L33" s="19"/>
    </row>
    <row r="34" spans="1:12">
      <c r="A34" s="6">
        <v>30</v>
      </c>
      <c r="B34" s="6" t="str">
        <f t="shared" si="4"/>
        <v>Pompa infuzyjna strzykawkowa</v>
      </c>
      <c r="C34" s="6" t="str">
        <f t="shared" si="5"/>
        <v>Mono 20/50</v>
      </c>
      <c r="D34" s="6" t="str">
        <f>"4068"</f>
        <v>4068</v>
      </c>
      <c r="E34" s="6" t="str">
        <f>"środek niskocenny"</f>
        <v>środek niskocenny</v>
      </c>
      <c r="F34" s="6" t="str">
        <f>"Oddział Neurochirurgiczny"</f>
        <v>Oddział Neurochirurgiczny</v>
      </c>
      <c r="G34" s="6" t="str">
        <f t="shared" si="2"/>
        <v>Kwapisz - Pompy Infuzyjne</v>
      </c>
      <c r="H34" s="6">
        <v>2001</v>
      </c>
      <c r="I34" s="3">
        <v>4</v>
      </c>
      <c r="J34" s="19"/>
      <c r="K34" s="19"/>
      <c r="L34" s="19"/>
    </row>
    <row r="35" spans="1:12">
      <c r="A35" s="6">
        <v>31</v>
      </c>
      <c r="B35" s="6" t="str">
        <f t="shared" si="4"/>
        <v>Pompa infuzyjna strzykawkowa</v>
      </c>
      <c r="C35" s="6" t="str">
        <f t="shared" si="5"/>
        <v>Mono 20/50</v>
      </c>
      <c r="D35" s="6" t="str">
        <f>"4199"</f>
        <v>4199</v>
      </c>
      <c r="E35" s="6" t="str">
        <f>"802/823"</f>
        <v>802/823</v>
      </c>
      <c r="F35" s="6" t="str">
        <f>"Oddział Neurologiczny"</f>
        <v>Oddział Neurologiczny</v>
      </c>
      <c r="G35" s="6" t="str">
        <f t="shared" si="2"/>
        <v>Kwapisz - Pompy Infuzyjne</v>
      </c>
      <c r="H35" s="6">
        <v>2003</v>
      </c>
      <c r="I35" s="3">
        <v>4</v>
      </c>
      <c r="J35" s="19"/>
      <c r="K35" s="19"/>
      <c r="L35" s="19"/>
    </row>
    <row r="36" spans="1:12">
      <c r="A36" s="74" t="s">
        <v>6</v>
      </c>
      <c r="B36" s="75"/>
      <c r="C36" s="75"/>
      <c r="D36" s="75"/>
      <c r="E36" s="75"/>
      <c r="F36" s="75"/>
      <c r="G36" s="75"/>
      <c r="H36" s="75"/>
      <c r="I36" s="75"/>
      <c r="J36" s="76"/>
      <c r="K36" s="20"/>
      <c r="L36" s="20"/>
    </row>
    <row r="37" spans="1:12" ht="22.5">
      <c r="F37" s="24" t="s">
        <v>29</v>
      </c>
    </row>
    <row r="38" spans="1:12" ht="99.75">
      <c r="B38" s="30"/>
      <c r="C38" s="28" t="s">
        <v>25</v>
      </c>
      <c r="D38" s="28" t="s">
        <v>43</v>
      </c>
      <c r="E38" s="29" t="s">
        <v>30</v>
      </c>
      <c r="F38" s="29" t="s">
        <v>31</v>
      </c>
      <c r="G38" s="29" t="s">
        <v>26</v>
      </c>
      <c r="H38" s="29" t="s">
        <v>27</v>
      </c>
      <c r="I38" s="29" t="s">
        <v>34</v>
      </c>
      <c r="J38" s="29" t="s">
        <v>32</v>
      </c>
      <c r="K38" s="29" t="s">
        <v>33</v>
      </c>
      <c r="L38" s="29" t="s">
        <v>35</v>
      </c>
    </row>
    <row r="39" spans="1:12" ht="45" customHeight="1">
      <c r="B39" s="37">
        <v>1</v>
      </c>
      <c r="C39" s="32">
        <v>2</v>
      </c>
      <c r="D39" s="32">
        <v>3</v>
      </c>
      <c r="E39" s="33">
        <v>4</v>
      </c>
      <c r="F39" s="33">
        <v>5</v>
      </c>
      <c r="G39" s="33">
        <v>6</v>
      </c>
      <c r="H39" s="33">
        <v>7</v>
      </c>
      <c r="I39" s="33">
        <v>8</v>
      </c>
      <c r="J39" s="33">
        <v>9</v>
      </c>
      <c r="K39" s="33">
        <v>10</v>
      </c>
      <c r="L39" s="33">
        <v>11</v>
      </c>
    </row>
    <row r="40" spans="1:12">
      <c r="B40" s="30"/>
      <c r="C40" s="25" t="s">
        <v>28</v>
      </c>
      <c r="D40" s="25">
        <v>4</v>
      </c>
      <c r="E40" s="25"/>
      <c r="F40" s="25"/>
      <c r="G40" s="26"/>
      <c r="H40" s="26"/>
      <c r="I40" s="26"/>
      <c r="J40" s="26"/>
      <c r="K40" s="26"/>
      <c r="L40" s="26"/>
    </row>
    <row r="41" spans="1:12">
      <c r="B41" s="30"/>
      <c r="C41" s="17"/>
      <c r="D41" s="17"/>
      <c r="E41" s="17"/>
      <c r="F41" s="17"/>
      <c r="G41" s="58" t="s">
        <v>36</v>
      </c>
      <c r="H41" s="59"/>
      <c r="I41" s="17"/>
      <c r="J41" s="27" t="s">
        <v>37</v>
      </c>
      <c r="K41" s="17" t="s">
        <v>37</v>
      </c>
      <c r="L41" s="17"/>
    </row>
    <row r="42" spans="1:12">
      <c r="B42" s="14"/>
      <c r="J42" s="5"/>
    </row>
    <row r="43" spans="1:12">
      <c r="B43" s="14"/>
      <c r="J43" s="5"/>
    </row>
    <row r="44" spans="1:12" ht="18.75">
      <c r="B44" s="14"/>
      <c r="D44" s="52" t="s">
        <v>38</v>
      </c>
      <c r="E44" s="52"/>
      <c r="F44" s="52"/>
      <c r="G44" s="47" t="s">
        <v>40</v>
      </c>
      <c r="H44" s="47" t="s">
        <v>39</v>
      </c>
      <c r="I44" s="35"/>
      <c r="J44" s="36"/>
      <c r="K44" s="35"/>
      <c r="L44" s="35"/>
    </row>
    <row r="45" spans="1:12" ht="18.75">
      <c r="B45" s="14"/>
      <c r="D45" s="52"/>
      <c r="E45" s="52"/>
      <c r="F45" s="52"/>
      <c r="G45" s="48"/>
      <c r="H45" s="48"/>
      <c r="I45" s="35"/>
      <c r="J45" s="36"/>
      <c r="K45" s="35"/>
      <c r="L45" s="35"/>
    </row>
    <row r="46" spans="1:12" ht="39" customHeight="1">
      <c r="B46" s="14"/>
      <c r="J46" s="5"/>
    </row>
    <row r="47" spans="1:12" ht="60.75" customHeight="1">
      <c r="B47" s="14"/>
      <c r="H47" s="60" t="s">
        <v>42</v>
      </c>
      <c r="I47" s="60"/>
      <c r="J47" s="60"/>
      <c r="K47" s="60"/>
    </row>
    <row r="48" spans="1:12" ht="60.75" customHeight="1"/>
    <row r="49" ht="60.75" customHeight="1"/>
  </sheetData>
  <mergeCells count="6">
    <mergeCell ref="D44:F45"/>
    <mergeCell ref="H47:K47"/>
    <mergeCell ref="I3:L3"/>
    <mergeCell ref="A36:J36"/>
    <mergeCell ref="B2:L2"/>
    <mergeCell ref="G41:H41"/>
  </mergeCells>
  <pageMargins left="0.70866141732283472" right="0.70866141732283472" top="0.43" bottom="0.16" header="0.31496062992125984" footer="0.31496062992125984"/>
  <pageSetup paperSize="9" scale="55" fitToHeight="0" orientation="landscape" verticalDpi="0" r:id="rId1"/>
  <headerFooter>
    <oddHeader>&amp;RZałącznik nr 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32"/>
  <sheetViews>
    <sheetView showGridLines="0" topLeftCell="B1" zoomScale="90" zoomScaleNormal="90" workbookViewId="0">
      <pane ySplit="4" topLeftCell="A5" activePane="bottomLeft" state="frozen"/>
      <selection activeCell="C1" sqref="C1"/>
      <selection pane="bottomLeft" activeCell="B2" sqref="B2:N2"/>
    </sheetView>
  </sheetViews>
  <sheetFormatPr defaultColWidth="8.42578125" defaultRowHeight="15"/>
  <cols>
    <col min="1" max="1" width="5.7109375" customWidth="1"/>
    <col min="2" max="2" width="39.7109375" customWidth="1"/>
    <col min="3" max="3" width="25.7109375" customWidth="1"/>
    <col min="4" max="4" width="16.28515625" customWidth="1"/>
    <col min="5" max="5" width="22.28515625" customWidth="1"/>
    <col min="6" max="6" width="26.5703125" customWidth="1"/>
    <col min="7" max="7" width="23.28515625" customWidth="1"/>
    <col min="8" max="8" width="52" customWidth="1"/>
    <col min="9" max="9" width="29.140625" customWidth="1"/>
    <col min="10" max="10" width="10.85546875" customWidth="1"/>
    <col min="11" max="11" width="24.28515625" customWidth="1"/>
    <col min="14" max="14" width="9.42578125" customWidth="1"/>
    <col min="15" max="15" width="9.5703125" customWidth="1"/>
  </cols>
  <sheetData>
    <row r="2" spans="1:15" ht="42.75" customHeight="1">
      <c r="A2" s="6"/>
      <c r="B2" s="77" t="s">
        <v>47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9"/>
      <c r="O2" s="6"/>
    </row>
    <row r="3" spans="1:1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55" t="s">
        <v>8</v>
      </c>
      <c r="M3" s="55"/>
      <c r="N3" s="55"/>
      <c r="O3" s="55"/>
    </row>
    <row r="4" spans="1:15" s="8" customFormat="1" ht="112.5">
      <c r="A4" s="22" t="s">
        <v>7</v>
      </c>
      <c r="B4" s="22" t="str">
        <f>"Nazwa urządzenia"</f>
        <v>Nazwa urządzenia</v>
      </c>
      <c r="C4" s="22" t="str">
        <f>"Typ"</f>
        <v>Typ</v>
      </c>
      <c r="D4" s="22" t="str">
        <f>"Nr ser."</f>
        <v>Nr ser.</v>
      </c>
      <c r="E4" s="22" t="str">
        <f>"Nr inw."</f>
        <v>Nr inw.</v>
      </c>
      <c r="F4" s="22" t="str">
        <f>"D. ost. prz."</f>
        <v>D. ost. prz.</v>
      </c>
      <c r="G4" s="22" t="str">
        <f>"D. nast. prz."</f>
        <v>D. nast. prz.</v>
      </c>
      <c r="H4" s="22" t="str">
        <f>"Komórka organizacyjna"</f>
        <v>Komórka organizacyjna</v>
      </c>
      <c r="I4" s="22" t="str">
        <f>"Producent"</f>
        <v>Producent</v>
      </c>
      <c r="J4" s="22" t="str">
        <f>"Rok prod."</f>
        <v>Rok prod.</v>
      </c>
      <c r="K4" s="22" t="str">
        <f>"Data gwarancji"</f>
        <v>Data gwarancji</v>
      </c>
      <c r="L4" s="16" t="s">
        <v>1</v>
      </c>
      <c r="M4" s="16" t="s">
        <v>2</v>
      </c>
      <c r="N4" s="16" t="s">
        <v>3</v>
      </c>
      <c r="O4" s="16" t="s">
        <v>5</v>
      </c>
    </row>
    <row r="5" spans="1:15">
      <c r="A5" s="3">
        <v>1</v>
      </c>
      <c r="B5" s="6" t="str">
        <f>"Pompa infuzyjna strzykawkowa"</f>
        <v>Pompa infuzyjna strzykawkowa</v>
      </c>
      <c r="C5" s="6" t="str">
        <f>"Perfusor Compact"</f>
        <v>Perfusor Compact</v>
      </c>
      <c r="D5" s="6" t="str">
        <f>"22191"</f>
        <v>22191</v>
      </c>
      <c r="E5" s="6" t="str">
        <f>"802/226/T"</f>
        <v>802/226/T</v>
      </c>
      <c r="F5" s="6" t="str">
        <f>"2024-01-15"</f>
        <v>2024-01-15</v>
      </c>
      <c r="G5" s="6" t="str">
        <f>"2025-01-15"</f>
        <v>2025-01-15</v>
      </c>
      <c r="H5" s="6" t="str">
        <f>"Oddział Chirurgii Dziecięcej"</f>
        <v>Oddział Chirurgii Dziecięcej</v>
      </c>
      <c r="I5" s="6" t="str">
        <f>"B.Braun MELSUNGEN AG"</f>
        <v>B.Braun MELSUNGEN AG</v>
      </c>
      <c r="J5" s="6">
        <v>1999</v>
      </c>
      <c r="K5" s="6"/>
      <c r="L5" s="3">
        <v>4</v>
      </c>
      <c r="M5" s="19"/>
      <c r="N5" s="19"/>
      <c r="O5" s="19"/>
    </row>
    <row r="6" spans="1:15">
      <c r="A6" s="3">
        <v>2</v>
      </c>
      <c r="B6" s="6" t="str">
        <f>"Pompa infuzyjna strzykawkowa"</f>
        <v>Pompa infuzyjna strzykawkowa</v>
      </c>
      <c r="C6" s="6" t="str">
        <f>"Perfusor Compact"</f>
        <v>Perfusor Compact</v>
      </c>
      <c r="D6" s="6" t="str">
        <f>"22128"</f>
        <v>22128</v>
      </c>
      <c r="E6" s="6" t="str">
        <f>"802/224/T"</f>
        <v>802/224/T</v>
      </c>
      <c r="F6" s="6" t="str">
        <f>"2024-01-15"</f>
        <v>2024-01-15</v>
      </c>
      <c r="G6" s="6" t="str">
        <f>"2025-01-15"</f>
        <v>2025-01-15</v>
      </c>
      <c r="H6" s="6" t="str">
        <f>"Oddział Chirurgii Dziecięcej"</f>
        <v>Oddział Chirurgii Dziecięcej</v>
      </c>
      <c r="I6" s="6" t="str">
        <f>"B.Braun MELSUNGEN AG"</f>
        <v>B.Braun MELSUNGEN AG</v>
      </c>
      <c r="J6" s="6">
        <v>1999</v>
      </c>
      <c r="K6" s="6"/>
      <c r="L6" s="3">
        <v>4</v>
      </c>
      <c r="M6" s="19"/>
      <c r="N6" s="19"/>
      <c r="O6" s="19"/>
    </row>
    <row r="7" spans="1:15">
      <c r="A7" s="3">
        <v>3</v>
      </c>
      <c r="B7" s="6" t="str">
        <f>"Pompa infuzyjna strzykawkowa"</f>
        <v>Pompa infuzyjna strzykawkowa</v>
      </c>
      <c r="C7" s="6" t="str">
        <f>"Perfusor Space"</f>
        <v>Perfusor Space</v>
      </c>
      <c r="D7" s="6" t="str">
        <f>"610592"</f>
        <v>610592</v>
      </c>
      <c r="E7" s="6" t="str">
        <f>"wyposażenie karetki"</f>
        <v>wyposażenie karetki</v>
      </c>
      <c r="F7" s="6" t="str">
        <f>"2023-10-21"</f>
        <v>2023-10-21</v>
      </c>
      <c r="G7" s="6" t="str">
        <f>"2025-10-21"</f>
        <v>2025-10-21</v>
      </c>
      <c r="H7" s="6" t="str">
        <f>"Zespół Ratownictwa Medycznego Podstawowy P0218"</f>
        <v>Zespół Ratownictwa Medycznego Podstawowy P0218</v>
      </c>
      <c r="I7" s="6" t="str">
        <f>"B.Braun MELSUNGEN AG"</f>
        <v>B.Braun MELSUNGEN AG</v>
      </c>
      <c r="J7" s="6">
        <v>2021</v>
      </c>
      <c r="K7" s="6"/>
      <c r="L7" s="3">
        <v>4</v>
      </c>
      <c r="M7" s="19"/>
      <c r="N7" s="19"/>
      <c r="O7" s="19"/>
    </row>
    <row r="8" spans="1:15">
      <c r="A8" s="3">
        <v>4</v>
      </c>
      <c r="B8" s="6" t="str">
        <f>"Pompa infuzyjna strzykawkowa"</f>
        <v>Pompa infuzyjna strzykawkowa</v>
      </c>
      <c r="C8" s="6" t="str">
        <f>"Perfusor Space"</f>
        <v>Perfusor Space</v>
      </c>
      <c r="D8" s="6" t="str">
        <f>"610672"</f>
        <v>610672</v>
      </c>
      <c r="E8" s="6" t="str">
        <f>"wyposażenie karetki"</f>
        <v>wyposażenie karetki</v>
      </c>
      <c r="F8" s="6" t="str">
        <f>"2023-10-21"</f>
        <v>2023-10-21</v>
      </c>
      <c r="G8" s="6" t="str">
        <f>"2025-10-21"</f>
        <v>2025-10-21</v>
      </c>
      <c r="H8" s="6" t="str">
        <f>"Zespół Ratownictwa Medycznego Podstawowy P0222"</f>
        <v>Zespół Ratownictwa Medycznego Podstawowy P0222</v>
      </c>
      <c r="I8" s="6" t="str">
        <f>"B.Braun MELSUNGEN AG"</f>
        <v>B.Braun MELSUNGEN AG</v>
      </c>
      <c r="J8" s="6">
        <v>2021</v>
      </c>
      <c r="K8" s="6"/>
      <c r="L8" s="3">
        <v>4</v>
      </c>
      <c r="M8" s="19"/>
      <c r="N8" s="19"/>
      <c r="O8" s="19"/>
    </row>
    <row r="9" spans="1:15">
      <c r="A9" s="3">
        <v>5</v>
      </c>
      <c r="B9" s="6" t="str">
        <f>"Pompa infuzyjna strzykawkowa"</f>
        <v>Pompa infuzyjna strzykawkowa</v>
      </c>
      <c r="C9" s="6" t="str">
        <f>"Perfusor Space"</f>
        <v>Perfusor Space</v>
      </c>
      <c r="D9" s="6" t="str">
        <f>"610462"</f>
        <v>610462</v>
      </c>
      <c r="E9" s="6" t="str">
        <f>"wyposażenie karetki"</f>
        <v>wyposażenie karetki</v>
      </c>
      <c r="F9" s="6" t="str">
        <f>"2023-10-21"</f>
        <v>2023-10-21</v>
      </c>
      <c r="G9" s="6" t="str">
        <f>"2025-10-21"</f>
        <v>2025-10-21</v>
      </c>
      <c r="H9" s="6" t="s">
        <v>4</v>
      </c>
      <c r="I9" s="6" t="str">
        <f>"B.Braun MELSUNGEN AG"</f>
        <v>B.Braun MELSUNGEN AG</v>
      </c>
      <c r="J9" s="6">
        <v>2021</v>
      </c>
      <c r="K9" s="6"/>
      <c r="L9" s="3">
        <v>4</v>
      </c>
      <c r="M9" s="19"/>
      <c r="N9" s="19"/>
      <c r="O9" s="19"/>
    </row>
    <row r="10" spans="1:15">
      <c r="A10" s="3">
        <v>6</v>
      </c>
      <c r="B10" s="6" t="str">
        <f t="shared" ref="B10:B19" si="0">"Pompa infuzyjna objętościowa (perystaltyczna)"</f>
        <v>Pompa infuzyjna objętościowa (perystaltyczna)</v>
      </c>
      <c r="C10" s="6" t="str">
        <f t="shared" ref="C10:C19" si="1">"Infusomat Compact Plus"</f>
        <v>Infusomat Compact Plus</v>
      </c>
      <c r="D10" s="6" t="str">
        <f>"032789"</f>
        <v>032789</v>
      </c>
      <c r="E10" s="6" t="str">
        <f>"802/2381"</f>
        <v>802/2381</v>
      </c>
      <c r="F10" s="6" t="str">
        <f t="shared" ref="F10:F19" si="2">"2023-09-21"</f>
        <v>2023-09-21</v>
      </c>
      <c r="G10" s="6" t="str">
        <f t="shared" ref="G10:G19" si="3">"2025-09-21"</f>
        <v>2025-09-21</v>
      </c>
      <c r="H10" s="6" t="str">
        <f t="shared" ref="H10:H19" si="4">"Oddział Onkologii Klinicznej"</f>
        <v>Oddział Onkologii Klinicznej</v>
      </c>
      <c r="I10" s="6" t="str">
        <f t="shared" ref="I10:I19" si="5">"B.Braun Melsungen AG Niemcy"</f>
        <v>B.Braun Melsungen AG Niemcy</v>
      </c>
      <c r="J10" s="6">
        <v>2021</v>
      </c>
      <c r="K10" s="6" t="str">
        <f t="shared" ref="K10:K19" si="6">"2024-10-27"</f>
        <v>2024-10-27</v>
      </c>
      <c r="L10" s="3">
        <v>3</v>
      </c>
      <c r="M10" s="19"/>
      <c r="N10" s="19"/>
      <c r="O10" s="19"/>
    </row>
    <row r="11" spans="1:15">
      <c r="A11" s="3">
        <v>7</v>
      </c>
      <c r="B11" s="6" t="str">
        <f t="shared" si="0"/>
        <v>Pompa infuzyjna objętościowa (perystaltyczna)</v>
      </c>
      <c r="C11" s="6" t="str">
        <f t="shared" si="1"/>
        <v>Infusomat Compact Plus</v>
      </c>
      <c r="D11" s="6" t="str">
        <f>"032800"</f>
        <v>032800</v>
      </c>
      <c r="E11" s="6" t="str">
        <f>"802/2382"</f>
        <v>802/2382</v>
      </c>
      <c r="F11" s="6" t="str">
        <f t="shared" si="2"/>
        <v>2023-09-21</v>
      </c>
      <c r="G11" s="6" t="str">
        <f t="shared" si="3"/>
        <v>2025-09-21</v>
      </c>
      <c r="H11" s="6" t="str">
        <f t="shared" si="4"/>
        <v>Oddział Onkologii Klinicznej</v>
      </c>
      <c r="I11" s="6" t="str">
        <f t="shared" si="5"/>
        <v>B.Braun Melsungen AG Niemcy</v>
      </c>
      <c r="J11" s="6">
        <v>2021</v>
      </c>
      <c r="K11" s="6" t="str">
        <f t="shared" si="6"/>
        <v>2024-10-27</v>
      </c>
      <c r="L11" s="3">
        <v>3</v>
      </c>
      <c r="M11" s="19"/>
      <c r="N11" s="19"/>
      <c r="O11" s="19"/>
    </row>
    <row r="12" spans="1:15">
      <c r="A12" s="3">
        <v>8</v>
      </c>
      <c r="B12" s="6" t="str">
        <f t="shared" si="0"/>
        <v>Pompa infuzyjna objętościowa (perystaltyczna)</v>
      </c>
      <c r="C12" s="6" t="str">
        <f t="shared" si="1"/>
        <v>Infusomat Compact Plus</v>
      </c>
      <c r="D12" s="6" t="str">
        <f>"032795"</f>
        <v>032795</v>
      </c>
      <c r="E12" s="6" t="str">
        <f>"802/2383"</f>
        <v>802/2383</v>
      </c>
      <c r="F12" s="6" t="str">
        <f t="shared" si="2"/>
        <v>2023-09-21</v>
      </c>
      <c r="G12" s="6" t="str">
        <f t="shared" si="3"/>
        <v>2025-09-21</v>
      </c>
      <c r="H12" s="6" t="str">
        <f t="shared" si="4"/>
        <v>Oddział Onkologii Klinicznej</v>
      </c>
      <c r="I12" s="6" t="str">
        <f t="shared" si="5"/>
        <v>B.Braun Melsungen AG Niemcy</v>
      </c>
      <c r="J12" s="6">
        <v>2021</v>
      </c>
      <c r="K12" s="6" t="str">
        <f t="shared" si="6"/>
        <v>2024-10-27</v>
      </c>
      <c r="L12" s="3">
        <v>3</v>
      </c>
      <c r="M12" s="19"/>
      <c r="N12" s="19"/>
      <c r="O12" s="19"/>
    </row>
    <row r="13" spans="1:15">
      <c r="A13" s="3">
        <v>9</v>
      </c>
      <c r="B13" s="6" t="str">
        <f t="shared" si="0"/>
        <v>Pompa infuzyjna objętościowa (perystaltyczna)</v>
      </c>
      <c r="C13" s="6" t="str">
        <f t="shared" si="1"/>
        <v>Infusomat Compact Plus</v>
      </c>
      <c r="D13" s="6" t="str">
        <f>"032763"</f>
        <v>032763</v>
      </c>
      <c r="E13" s="6" t="str">
        <f>"802/2384"</f>
        <v>802/2384</v>
      </c>
      <c r="F13" s="6" t="str">
        <f t="shared" si="2"/>
        <v>2023-09-21</v>
      </c>
      <c r="G13" s="6" t="str">
        <f t="shared" si="3"/>
        <v>2025-09-21</v>
      </c>
      <c r="H13" s="6" t="str">
        <f t="shared" si="4"/>
        <v>Oddział Onkologii Klinicznej</v>
      </c>
      <c r="I13" s="6" t="str">
        <f t="shared" si="5"/>
        <v>B.Braun Melsungen AG Niemcy</v>
      </c>
      <c r="J13" s="6">
        <v>2021</v>
      </c>
      <c r="K13" s="6" t="str">
        <f t="shared" si="6"/>
        <v>2024-10-27</v>
      </c>
      <c r="L13" s="3">
        <v>3</v>
      </c>
      <c r="M13" s="19"/>
      <c r="N13" s="19"/>
      <c r="O13" s="19"/>
    </row>
    <row r="14" spans="1:15">
      <c r="A14" s="3">
        <v>10</v>
      </c>
      <c r="B14" s="6" t="str">
        <f t="shared" si="0"/>
        <v>Pompa infuzyjna objętościowa (perystaltyczna)</v>
      </c>
      <c r="C14" s="6" t="str">
        <f t="shared" si="1"/>
        <v>Infusomat Compact Plus</v>
      </c>
      <c r="D14" s="6" t="str">
        <f>"032809"</f>
        <v>032809</v>
      </c>
      <c r="E14" s="6" t="str">
        <f>"802/2385"</f>
        <v>802/2385</v>
      </c>
      <c r="F14" s="6" t="str">
        <f t="shared" si="2"/>
        <v>2023-09-21</v>
      </c>
      <c r="G14" s="6" t="str">
        <f t="shared" si="3"/>
        <v>2025-09-21</v>
      </c>
      <c r="H14" s="6" t="str">
        <f t="shared" si="4"/>
        <v>Oddział Onkologii Klinicznej</v>
      </c>
      <c r="I14" s="6" t="str">
        <f t="shared" si="5"/>
        <v>B.Braun Melsungen AG Niemcy</v>
      </c>
      <c r="J14" s="6">
        <v>2021</v>
      </c>
      <c r="K14" s="6" t="str">
        <f t="shared" si="6"/>
        <v>2024-10-27</v>
      </c>
      <c r="L14" s="3">
        <v>3</v>
      </c>
      <c r="M14" s="19"/>
      <c r="N14" s="19"/>
      <c r="O14" s="19"/>
    </row>
    <row r="15" spans="1:15">
      <c r="A15" s="3">
        <v>11</v>
      </c>
      <c r="B15" s="6" t="str">
        <f t="shared" si="0"/>
        <v>Pompa infuzyjna objętościowa (perystaltyczna)</v>
      </c>
      <c r="C15" s="6" t="str">
        <f t="shared" si="1"/>
        <v>Infusomat Compact Plus</v>
      </c>
      <c r="D15" s="6" t="str">
        <f>"032799"</f>
        <v>032799</v>
      </c>
      <c r="E15" s="6" t="str">
        <f>"802/2386"</f>
        <v>802/2386</v>
      </c>
      <c r="F15" s="6" t="str">
        <f t="shared" si="2"/>
        <v>2023-09-21</v>
      </c>
      <c r="G15" s="6" t="str">
        <f t="shared" si="3"/>
        <v>2025-09-21</v>
      </c>
      <c r="H15" s="6" t="str">
        <f t="shared" si="4"/>
        <v>Oddział Onkologii Klinicznej</v>
      </c>
      <c r="I15" s="6" t="str">
        <f t="shared" si="5"/>
        <v>B.Braun Melsungen AG Niemcy</v>
      </c>
      <c r="J15" s="6">
        <v>2021</v>
      </c>
      <c r="K15" s="6" t="str">
        <f t="shared" si="6"/>
        <v>2024-10-27</v>
      </c>
      <c r="L15" s="3">
        <v>3</v>
      </c>
      <c r="M15" s="19"/>
      <c r="N15" s="19"/>
      <c r="O15" s="19"/>
    </row>
    <row r="16" spans="1:15">
      <c r="A16" s="3">
        <v>12</v>
      </c>
      <c r="B16" s="6" t="str">
        <f t="shared" si="0"/>
        <v>Pompa infuzyjna objętościowa (perystaltyczna)</v>
      </c>
      <c r="C16" s="6" t="str">
        <f t="shared" si="1"/>
        <v>Infusomat Compact Plus</v>
      </c>
      <c r="D16" s="6" t="str">
        <f>"032797"</f>
        <v>032797</v>
      </c>
      <c r="E16" s="6" t="str">
        <f>"802/2387"</f>
        <v>802/2387</v>
      </c>
      <c r="F16" s="6" t="str">
        <f t="shared" si="2"/>
        <v>2023-09-21</v>
      </c>
      <c r="G16" s="6" t="str">
        <f t="shared" si="3"/>
        <v>2025-09-21</v>
      </c>
      <c r="H16" s="6" t="str">
        <f t="shared" si="4"/>
        <v>Oddział Onkologii Klinicznej</v>
      </c>
      <c r="I16" s="6" t="str">
        <f t="shared" si="5"/>
        <v>B.Braun Melsungen AG Niemcy</v>
      </c>
      <c r="J16" s="6">
        <v>2021</v>
      </c>
      <c r="K16" s="6" t="str">
        <f t="shared" si="6"/>
        <v>2024-10-27</v>
      </c>
      <c r="L16" s="3">
        <v>3</v>
      </c>
      <c r="M16" s="19"/>
      <c r="N16" s="19"/>
      <c r="O16" s="19"/>
    </row>
    <row r="17" spans="1:15">
      <c r="A17" s="3">
        <v>13</v>
      </c>
      <c r="B17" s="6" t="str">
        <f t="shared" si="0"/>
        <v>Pompa infuzyjna objętościowa (perystaltyczna)</v>
      </c>
      <c r="C17" s="6" t="str">
        <f t="shared" si="1"/>
        <v>Infusomat Compact Plus</v>
      </c>
      <c r="D17" s="6" t="str">
        <f>"032787"</f>
        <v>032787</v>
      </c>
      <c r="E17" s="6" t="str">
        <f>"802/2388"</f>
        <v>802/2388</v>
      </c>
      <c r="F17" s="6" t="str">
        <f t="shared" si="2"/>
        <v>2023-09-21</v>
      </c>
      <c r="G17" s="6" t="str">
        <f t="shared" si="3"/>
        <v>2025-09-21</v>
      </c>
      <c r="H17" s="6" t="str">
        <f t="shared" si="4"/>
        <v>Oddział Onkologii Klinicznej</v>
      </c>
      <c r="I17" s="6" t="str">
        <f t="shared" si="5"/>
        <v>B.Braun Melsungen AG Niemcy</v>
      </c>
      <c r="J17" s="6">
        <v>2021</v>
      </c>
      <c r="K17" s="6" t="str">
        <f t="shared" si="6"/>
        <v>2024-10-27</v>
      </c>
      <c r="L17" s="3">
        <v>3</v>
      </c>
      <c r="M17" s="19"/>
      <c r="N17" s="19"/>
      <c r="O17" s="19"/>
    </row>
    <row r="18" spans="1:15">
      <c r="A18" s="3">
        <v>14</v>
      </c>
      <c r="B18" s="6" t="str">
        <f t="shared" si="0"/>
        <v>Pompa infuzyjna objętościowa (perystaltyczna)</v>
      </c>
      <c r="C18" s="6" t="str">
        <f t="shared" si="1"/>
        <v>Infusomat Compact Plus</v>
      </c>
      <c r="D18" s="6" t="str">
        <f>"032801"</f>
        <v>032801</v>
      </c>
      <c r="E18" s="6" t="str">
        <f>"802/2389"</f>
        <v>802/2389</v>
      </c>
      <c r="F18" s="6" t="str">
        <f t="shared" si="2"/>
        <v>2023-09-21</v>
      </c>
      <c r="G18" s="6" t="str">
        <f t="shared" si="3"/>
        <v>2025-09-21</v>
      </c>
      <c r="H18" s="6" t="str">
        <f t="shared" si="4"/>
        <v>Oddział Onkologii Klinicznej</v>
      </c>
      <c r="I18" s="6" t="str">
        <f t="shared" si="5"/>
        <v>B.Braun Melsungen AG Niemcy</v>
      </c>
      <c r="J18" s="6">
        <v>2021</v>
      </c>
      <c r="K18" s="6" t="str">
        <f t="shared" si="6"/>
        <v>2024-10-27</v>
      </c>
      <c r="L18" s="3">
        <v>3</v>
      </c>
      <c r="M18" s="19"/>
      <c r="N18" s="19"/>
      <c r="O18" s="19"/>
    </row>
    <row r="19" spans="1:15">
      <c r="A19" s="3">
        <v>15</v>
      </c>
      <c r="B19" s="6" t="str">
        <f t="shared" si="0"/>
        <v>Pompa infuzyjna objętościowa (perystaltyczna)</v>
      </c>
      <c r="C19" s="6" t="str">
        <f t="shared" si="1"/>
        <v>Infusomat Compact Plus</v>
      </c>
      <c r="D19" s="6" t="str">
        <f>"032785"</f>
        <v>032785</v>
      </c>
      <c r="E19" s="6" t="str">
        <f>"802/2390"</f>
        <v>802/2390</v>
      </c>
      <c r="F19" s="6" t="str">
        <f t="shared" si="2"/>
        <v>2023-09-21</v>
      </c>
      <c r="G19" s="6" t="str">
        <f t="shared" si="3"/>
        <v>2025-09-21</v>
      </c>
      <c r="H19" s="6" t="str">
        <f t="shared" si="4"/>
        <v>Oddział Onkologii Klinicznej</v>
      </c>
      <c r="I19" s="6" t="str">
        <f t="shared" si="5"/>
        <v>B.Braun Melsungen AG Niemcy</v>
      </c>
      <c r="J19" s="6">
        <v>2021</v>
      </c>
      <c r="K19" s="6" t="str">
        <f t="shared" si="6"/>
        <v>2024-10-27</v>
      </c>
      <c r="L19" s="3">
        <v>3</v>
      </c>
      <c r="M19" s="19"/>
      <c r="N19" s="19"/>
      <c r="O19" s="19"/>
    </row>
    <row r="20" spans="1:15">
      <c r="A20" s="54" t="s">
        <v>6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20"/>
      <c r="O20" s="20"/>
    </row>
    <row r="22" spans="1:15" ht="22.5">
      <c r="E22" s="24" t="s">
        <v>29</v>
      </c>
    </row>
    <row r="23" spans="1:15" ht="76.5" customHeight="1">
      <c r="A23" s="30"/>
      <c r="B23" s="28" t="s">
        <v>25</v>
      </c>
      <c r="C23" s="28" t="s">
        <v>43</v>
      </c>
      <c r="D23" s="29" t="s">
        <v>30</v>
      </c>
      <c r="E23" s="29" t="s">
        <v>31</v>
      </c>
      <c r="F23" s="29" t="s">
        <v>26</v>
      </c>
      <c r="G23" s="29" t="s">
        <v>27</v>
      </c>
      <c r="H23" s="29" t="s">
        <v>34</v>
      </c>
      <c r="I23" s="29" t="s">
        <v>32</v>
      </c>
      <c r="J23" s="29" t="s">
        <v>33</v>
      </c>
      <c r="K23" s="29" t="s">
        <v>35</v>
      </c>
    </row>
    <row r="24" spans="1:15">
      <c r="A24" s="37">
        <v>1</v>
      </c>
      <c r="B24" s="32">
        <v>2</v>
      </c>
      <c r="C24" s="32">
        <v>3</v>
      </c>
      <c r="D24" s="33">
        <v>4</v>
      </c>
      <c r="E24" s="33">
        <v>5</v>
      </c>
      <c r="F24" s="33">
        <v>6</v>
      </c>
      <c r="G24" s="33">
        <v>7</v>
      </c>
      <c r="H24" s="33">
        <v>8</v>
      </c>
      <c r="I24" s="33">
        <v>9</v>
      </c>
      <c r="J24" s="33">
        <v>10</v>
      </c>
      <c r="K24" s="33">
        <v>11</v>
      </c>
    </row>
    <row r="25" spans="1:15">
      <c r="A25" s="30"/>
      <c r="B25" s="25" t="s">
        <v>28</v>
      </c>
      <c r="C25" s="25">
        <v>4</v>
      </c>
      <c r="D25" s="25"/>
      <c r="E25" s="25"/>
      <c r="F25" s="26"/>
      <c r="G25" s="26"/>
      <c r="H25" s="26"/>
      <c r="I25" s="26"/>
      <c r="J25" s="26"/>
      <c r="K25" s="26"/>
    </row>
    <row r="26" spans="1:15">
      <c r="A26" s="30"/>
      <c r="B26" s="17"/>
      <c r="C26" s="17"/>
      <c r="D26" s="17"/>
      <c r="E26" s="17"/>
      <c r="F26" s="58" t="s">
        <v>36</v>
      </c>
      <c r="G26" s="59"/>
      <c r="H26" s="17"/>
      <c r="I26" s="27" t="s">
        <v>37</v>
      </c>
      <c r="J26" s="17" t="s">
        <v>37</v>
      </c>
      <c r="K26" s="17"/>
    </row>
    <row r="27" spans="1:15">
      <c r="A27" s="14"/>
      <c r="I27" s="5"/>
    </row>
    <row r="28" spans="1:15">
      <c r="A28" s="14"/>
      <c r="I28" s="5"/>
    </row>
    <row r="29" spans="1:15" ht="18.75">
      <c r="A29" s="14"/>
      <c r="B29" s="35"/>
      <c r="C29" s="52" t="s">
        <v>38</v>
      </c>
      <c r="D29" s="52"/>
      <c r="E29" s="52"/>
      <c r="F29" s="47" t="s">
        <v>40</v>
      </c>
      <c r="G29" s="47" t="s">
        <v>39</v>
      </c>
      <c r="H29" s="35"/>
      <c r="I29" s="36"/>
      <c r="J29" s="35"/>
      <c r="K29" s="35"/>
    </row>
    <row r="30" spans="1:15" ht="18.75">
      <c r="A30" s="14"/>
      <c r="B30" s="35"/>
      <c r="C30" s="52"/>
      <c r="D30" s="52"/>
      <c r="E30" s="52"/>
      <c r="F30" s="48"/>
      <c r="G30" s="48"/>
      <c r="H30" s="35"/>
      <c r="I30" s="36"/>
      <c r="J30" s="35"/>
      <c r="K30" s="35"/>
    </row>
    <row r="31" spans="1:15" ht="65.25" customHeight="1">
      <c r="A31" s="14"/>
      <c r="G31" s="60" t="s">
        <v>42</v>
      </c>
      <c r="H31" s="60"/>
      <c r="I31" s="60"/>
      <c r="J31" s="60"/>
    </row>
    <row r="32" spans="1:15" ht="24" customHeight="1"/>
  </sheetData>
  <mergeCells count="7">
    <mergeCell ref="B2:N2"/>
    <mergeCell ref="F26:G26"/>
    <mergeCell ref="C29:E30"/>
    <mergeCell ref="G31:J31"/>
    <mergeCell ref="L3:O3"/>
    <mergeCell ref="A20:M20"/>
    <mergeCell ref="A3:K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verticalDpi="0" r:id="rId1"/>
  <headerFooter>
    <oddHeader>&amp;RZałącznik nr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1.Defibrylatory i kompresja</vt:lpstr>
      <vt:lpstr>2.Pompy Medima</vt:lpstr>
      <vt:lpstr>3.Pompy Ascor</vt:lpstr>
      <vt:lpstr>4.Pompy Kwapisz</vt:lpstr>
      <vt:lpstr>5.Pompy Braun</vt:lpstr>
      <vt:lpstr>'1.Defibrylatory i kompresja'!Obszar_wydruku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USER</cp:lastModifiedBy>
  <cp:lastPrinted>2024-09-04T08:49:54Z</cp:lastPrinted>
  <dcterms:created xsi:type="dcterms:W3CDTF">2015-06-05T18:19:34Z</dcterms:created>
  <dcterms:modified xsi:type="dcterms:W3CDTF">2024-10-25T07:10:29Z</dcterms:modified>
</cp:coreProperties>
</file>