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F:\2023\ZP.271.2.14.2023.SP_gaz\SWZ\"/>
    </mc:Choice>
  </mc:AlternateContent>
  <xr:revisionPtr revIDLastSave="0" documentId="13_ncr:1_{0977F2CD-010B-4786-9A83-3DD9724F6BBC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" l="1"/>
  <c r="P6" i="1"/>
  <c r="Z5" i="1"/>
  <c r="Z6" i="1"/>
  <c r="V6" i="1"/>
  <c r="T5" i="1"/>
  <c r="T6" i="1"/>
  <c r="P5" i="1"/>
  <c r="N5" i="1"/>
  <c r="I6" i="1"/>
  <c r="I7" i="1"/>
  <c r="V7" i="1" s="1"/>
  <c r="I8" i="1"/>
  <c r="V8" i="1" s="1"/>
  <c r="I9" i="1"/>
  <c r="V9" i="1" s="1"/>
  <c r="I5" i="1"/>
  <c r="V5" i="1" s="1"/>
  <c r="N7" i="1"/>
  <c r="P7" i="1"/>
  <c r="T7" i="1"/>
  <c r="Z7" i="1"/>
  <c r="N8" i="1"/>
  <c r="P8" i="1"/>
  <c r="T8" i="1"/>
  <c r="Z8" i="1"/>
  <c r="N9" i="1"/>
  <c r="P9" i="1"/>
  <c r="T9" i="1"/>
  <c r="Z9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R5" i="1" l="1"/>
  <c r="X5" i="1" s="1"/>
  <c r="Y5" i="1" s="1"/>
  <c r="R9" i="1"/>
  <c r="R8" i="1"/>
  <c r="R6" i="1"/>
  <c r="R7" i="1"/>
  <c r="W6" i="1"/>
  <c r="W5" i="1"/>
  <c r="W7" i="1"/>
  <c r="W8" i="1"/>
  <c r="W9" i="1"/>
  <c r="X9" i="1" s="1"/>
  <c r="X6" i="1" l="1"/>
  <c r="Y6" i="1" s="1"/>
  <c r="X8" i="1"/>
  <c r="Y8" i="1" s="1"/>
  <c r="X7" i="1"/>
  <c r="Y7" i="1" s="1"/>
  <c r="Y9" i="1"/>
  <c r="X10" i="1" l="1"/>
  <c r="Y10" i="1"/>
</calcChain>
</file>

<file path=xl/sharedStrings.xml><?xml version="1.0" encoding="utf-8"?>
<sst xmlns="http://schemas.openxmlformats.org/spreadsheetml/2006/main" count="63" uniqueCount="48">
  <si>
    <t>Załącznik nr 3 do SWZ - Formularz cenowy</t>
  </si>
  <si>
    <t>Grupa taryfowa OSD</t>
  </si>
  <si>
    <t>Grupa taryfowa PGNiG</t>
  </si>
  <si>
    <t>Liczba punktów poboru</t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</si>
  <si>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</si>
  <si>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</si>
  <si>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</si>
  <si>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</si>
  <si>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</si>
  <si>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</si>
  <si>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Liczba miesięcy</t>
  </si>
  <si>
    <t>Liczba dni</t>
  </si>
  <si>
    <t>Oddział dystrybucji</t>
  </si>
  <si>
    <t>Cena za paliwo gazowe [zł netto]</t>
  </si>
  <si>
    <t>Cena za usługi dystrybucyjne [zł netto]**</t>
  </si>
  <si>
    <t>CENA OFERTY 
[zł netto]</t>
  </si>
  <si>
    <t>CENA OFERTY 
[zł brutto]</t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</si>
  <si>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</si>
  <si>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t xml:space="preserve">Cena jednostkowa za paliwo gazowe objęte ochroną taryfową**, z akcyzą 1,38 zł/GJ*
</t>
    </r>
    <r>
      <rPr>
        <sz val="9"/>
        <rFont val="Calibri"/>
        <family val="2"/>
        <charset val="238"/>
        <scheme val="minor"/>
      </rPr>
      <t>[gr/kWh]
(kol. 13 + 0,39)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</si>
  <si>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</si>
  <si>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t xml:space="preserve">Cena jednostkowa za paliwo gazowe, którego nie obejmuje ochrona taryfowa, z akcyzą 1,38 zł/GJ*
</t>
    </r>
    <r>
      <rPr>
        <sz val="9"/>
        <rFont val="Calibri"/>
        <family val="2"/>
        <charset val="238"/>
        <scheme val="minor"/>
      </rPr>
      <t>[gr/kWh]
(kol. 15 + 0,39)</t>
    </r>
  </si>
  <si>
    <r>
      <rPr>
        <b/>
        <sz val="9"/>
        <rFont val="Calibri"/>
        <family val="2"/>
        <charset val="238"/>
        <scheme val="minor"/>
      </rPr>
      <t>Abonament/opłata handlowa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</si>
  <si>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</si>
  <si>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</si>
  <si>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</si>
  <si>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</si>
  <si>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</si>
  <si>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</si>
  <si>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</si>
  <si>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</si>
  <si>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t>Okres dostawy</t>
  </si>
  <si>
    <t>nd.</t>
  </si>
  <si>
    <t>SUMA:</t>
  </si>
  <si>
    <t>**Rozliczenia kosztów dystrybucji dla wszystkich odbiorców oraz kosztów paliwa gazowego dla odbiorców chronionych będą prowadzone zgodnie z taryfami obowiązującymi w okresie dostawy.</t>
  </si>
  <si>
    <t>Stawka podatku VAT</t>
  </si>
  <si>
    <t>W-1.1_PO</t>
  </si>
  <si>
    <t>W-2.1_PO</t>
  </si>
  <si>
    <t>W-3.6_PO</t>
  </si>
  <si>
    <t>W-4_PO</t>
  </si>
  <si>
    <t>W-5.1_PO</t>
  </si>
  <si>
    <t>PSG Sp. z o.o. - Poznań</t>
  </si>
  <si>
    <t>W-5.1</t>
  </si>
  <si>
    <t>W-4</t>
  </si>
  <si>
    <t>W-3.6</t>
  </si>
  <si>
    <t>W-2.1</t>
  </si>
  <si>
    <t>W-1.1</t>
  </si>
  <si>
    <t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Ustawy o podatku akcyzowym] oraz przyjmując wartość ciepła spalania 39,5 MJ/m3.</t>
  </si>
  <si>
    <t>01.02.2024 – 31.01.2025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</si>
</sst>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1" x14ac:knownFonts="1">
    <font>
      <sz val="11"/>
      <color theme="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8"/>
      <name val="Calibri"/>
      <family val="2"/>
      <scheme val="minor"/>
    </font>
    <font>
      <i/>
      <sz val="12"/>
      <color theme="7" tint="0.39997558519241921"/>
      <name val="Calibri"/>
      <family val="2"/>
      <charset val="238"/>
      <scheme val="minor"/>
    </font>
    <font>
      <b/>
      <sz val="11"/>
      <color theme="7" tint="0.3999755851924192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color theme="7" tint="0.3999755851924192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9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4" fontId="8" fillId="4" borderId="2" xfId="0" applyNumberFormat="1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justify" vertical="center" wrapText="1"/>
    </xf>
    <xf numFmtId="0" fontId="5" fillId="3" borderId="6" xfId="0" applyFont="1" applyFill="1" applyBorder="1" applyAlignment="1">
      <alignment horizontal="justify" vertical="center" wrapText="1"/>
    </xf>
    <xf numFmtId="0" fontId="5" fillId="3" borderId="7" xfId="0" applyFont="1" applyFill="1" applyBorder="1" applyAlignment="1">
      <alignment horizontal="justify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6"/>
  <sheetViews>
    <sheetView tabSelected="1" zoomScaleNormal="100" workbookViewId="0">
      <selection activeCell="E20" sqref="E20"/>
    </sheetView>
  </sheetViews>
  <sheetFormatPr defaultRowHeight="15" x14ac:dyDescent="0.25"/>
  <cols>
    <col min="1" max="2" width="10.5703125" style="3" customWidth="1"/>
    <col min="3" max="3" width="9.7109375" style="3" customWidth="1"/>
    <col min="4" max="4" width="7.140625" style="3" customWidth="1"/>
    <col min="5" max="8" width="19.7109375" style="3" customWidth="1"/>
    <col min="9" max="9" width="14.140625" style="3" customWidth="1"/>
    <col min="10" max="10" width="10" style="3" customWidth="1"/>
    <col min="11" max="11" width="8.28515625" style="3" bestFit="1" customWidth="1"/>
    <col min="12" max="12" width="19.7109375" style="3" customWidth="1"/>
    <col min="13" max="16" width="15.85546875" style="3" customWidth="1"/>
    <col min="17" max="17" width="12.28515625" style="3" customWidth="1"/>
    <col min="18" max="18" width="17.85546875" style="3" customWidth="1"/>
    <col min="19" max="19" width="20" style="3" customWidth="1"/>
    <col min="20" max="20" width="22.140625" style="3" customWidth="1"/>
    <col min="21" max="21" width="12.140625" style="3" customWidth="1"/>
    <col min="22" max="22" width="15.28515625" style="3" customWidth="1"/>
    <col min="23" max="23" width="13.28515625" style="3" customWidth="1"/>
    <col min="24" max="25" width="12.42578125" style="3" customWidth="1"/>
    <col min="26" max="26" width="7.85546875" customWidth="1"/>
    <col min="27" max="27" width="20.28515625" customWidth="1"/>
    <col min="28" max="28" width="9.85546875" bestFit="1" customWidth="1"/>
  </cols>
  <sheetData>
    <row r="1" spans="1:27" ht="15.75" customHeight="1" x14ac:dyDescent="0.2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</row>
    <row r="2" spans="1:27" ht="24" customHeight="1" x14ac:dyDescent="0.25">
      <c r="A2" s="33" t="s">
        <v>1</v>
      </c>
      <c r="B2" s="38" t="s">
        <v>2</v>
      </c>
      <c r="C2" s="33" t="s">
        <v>3</v>
      </c>
      <c r="D2" s="33" t="s">
        <v>4</v>
      </c>
      <c r="E2" s="40" t="s">
        <v>5</v>
      </c>
      <c r="F2" s="40" t="s">
        <v>6</v>
      </c>
      <c r="G2" s="40" t="s">
        <v>7</v>
      </c>
      <c r="H2" s="40" t="s">
        <v>8</v>
      </c>
      <c r="I2" s="40" t="s">
        <v>9</v>
      </c>
      <c r="J2" s="33" t="s">
        <v>10</v>
      </c>
      <c r="K2" s="33" t="s">
        <v>11</v>
      </c>
      <c r="L2" s="33" t="s">
        <v>12</v>
      </c>
      <c r="M2" s="34" t="s">
        <v>13</v>
      </c>
      <c r="N2" s="34"/>
      <c r="O2" s="34"/>
      <c r="P2" s="34"/>
      <c r="Q2" s="34"/>
      <c r="R2" s="34"/>
      <c r="S2" s="35" t="s">
        <v>14</v>
      </c>
      <c r="T2" s="35"/>
      <c r="U2" s="35"/>
      <c r="V2" s="35"/>
      <c r="W2" s="35"/>
      <c r="X2" s="24" t="s">
        <v>15</v>
      </c>
      <c r="Y2" s="24" t="s">
        <v>16</v>
      </c>
      <c r="Z2" s="1"/>
      <c r="AA2" s="2"/>
    </row>
    <row r="3" spans="1:27" ht="144" x14ac:dyDescent="0.25">
      <c r="A3" s="33"/>
      <c r="B3" s="39"/>
      <c r="C3" s="33"/>
      <c r="D3" s="33"/>
      <c r="E3" s="40"/>
      <c r="F3" s="40"/>
      <c r="G3" s="40"/>
      <c r="H3" s="40"/>
      <c r="I3" s="40"/>
      <c r="J3" s="33"/>
      <c r="K3" s="33"/>
      <c r="L3" s="33"/>
      <c r="M3" s="8" t="s">
        <v>17</v>
      </c>
      <c r="N3" s="9" t="s">
        <v>18</v>
      </c>
      <c r="O3" s="8" t="s">
        <v>19</v>
      </c>
      <c r="P3" s="9" t="s">
        <v>20</v>
      </c>
      <c r="Q3" s="8" t="s">
        <v>21</v>
      </c>
      <c r="R3" s="8" t="s">
        <v>22</v>
      </c>
      <c r="S3" s="10" t="s">
        <v>23</v>
      </c>
      <c r="T3" s="10" t="s">
        <v>24</v>
      </c>
      <c r="U3" s="11" t="s">
        <v>25</v>
      </c>
      <c r="V3" s="10" t="s">
        <v>26</v>
      </c>
      <c r="W3" s="10" t="s">
        <v>27</v>
      </c>
      <c r="X3" s="7" t="s">
        <v>28</v>
      </c>
      <c r="Y3" s="7" t="s">
        <v>29</v>
      </c>
      <c r="Z3" s="7" t="s">
        <v>34</v>
      </c>
      <c r="AA3" s="13" t="s">
        <v>30</v>
      </c>
    </row>
    <row r="4" spans="1:27" ht="12.75" customHeight="1" x14ac:dyDescent="0.25">
      <c r="A4" s="28" t="str">
        <f>"-1-"</f>
        <v>-1-</v>
      </c>
      <c r="B4" s="28" t="str">
        <f>"-2-"</f>
        <v>-2-</v>
      </c>
      <c r="C4" s="28" t="str">
        <f>"-3-"</f>
        <v>-3-</v>
      </c>
      <c r="D4" s="28" t="str">
        <f>"-4-"</f>
        <v>-4-</v>
      </c>
      <c r="E4" s="28" t="str">
        <f>"-5-"</f>
        <v>-5-</v>
      </c>
      <c r="F4" s="28" t="str">
        <f>"-6-"</f>
        <v>-6-</v>
      </c>
      <c r="G4" s="28" t="str">
        <f>"-7-"</f>
        <v>-7-</v>
      </c>
      <c r="H4" s="28" t="str">
        <f>"-8-"</f>
        <v>-8-</v>
      </c>
      <c r="I4" s="28" t="str">
        <f>"-9-"</f>
        <v>-9-</v>
      </c>
      <c r="J4" s="28" t="str">
        <f>"-10-"</f>
        <v>-10-</v>
      </c>
      <c r="K4" s="28" t="str">
        <f>"-11-"</f>
        <v>-11-</v>
      </c>
      <c r="L4" s="28" t="str">
        <f>"-12-"</f>
        <v>-12-</v>
      </c>
      <c r="M4" s="28" t="str">
        <f>"-13-"</f>
        <v>-13-</v>
      </c>
      <c r="N4" s="28" t="str">
        <f>"-14-"</f>
        <v>-14-</v>
      </c>
      <c r="O4" s="28" t="str">
        <f>"-15-"</f>
        <v>-15-</v>
      </c>
      <c r="P4" s="28" t="str">
        <f>"-16-"</f>
        <v>-16-</v>
      </c>
      <c r="Q4" s="28" t="str">
        <f>"-17-"</f>
        <v>-17-</v>
      </c>
      <c r="R4" s="28" t="str">
        <f>"-18-"</f>
        <v>-18-</v>
      </c>
      <c r="S4" s="28" t="str">
        <f>"-19-"</f>
        <v>-19-</v>
      </c>
      <c r="T4" s="28" t="str">
        <f>"-20-"</f>
        <v>-20-</v>
      </c>
      <c r="U4" s="28" t="str">
        <f>"-21-"</f>
        <v>-21-</v>
      </c>
      <c r="V4" s="29" t="str">
        <f>"-22-"</f>
        <v>-22-</v>
      </c>
      <c r="W4" s="28" t="str">
        <f>"-23-"</f>
        <v>-23-</v>
      </c>
      <c r="X4" s="28" t="str">
        <f>"-24-"</f>
        <v>-24-</v>
      </c>
      <c r="Y4" s="28" t="str">
        <f>"-25-"</f>
        <v>-25-</v>
      </c>
      <c r="Z4" s="28" t="str">
        <f>"-26-"</f>
        <v>-26-</v>
      </c>
      <c r="AA4" s="28" t="str">
        <f>"-27-"</f>
        <v>-27-</v>
      </c>
    </row>
    <row r="5" spans="1:27" ht="21.75" customHeight="1" x14ac:dyDescent="0.25">
      <c r="A5" s="14" t="s">
        <v>35</v>
      </c>
      <c r="B5" s="14" t="s">
        <v>45</v>
      </c>
      <c r="C5" s="6">
        <v>1</v>
      </c>
      <c r="D5" s="15" t="s">
        <v>31</v>
      </c>
      <c r="E5" s="6">
        <v>168</v>
      </c>
      <c r="F5" s="6">
        <v>0</v>
      </c>
      <c r="G5" s="6">
        <v>0</v>
      </c>
      <c r="H5" s="14">
        <v>0</v>
      </c>
      <c r="I5" s="14">
        <f>E5+F5+G5+H5</f>
        <v>168</v>
      </c>
      <c r="J5" s="14">
        <v>12</v>
      </c>
      <c r="K5" s="16" t="s">
        <v>31</v>
      </c>
      <c r="L5" s="17" t="s">
        <v>40</v>
      </c>
      <c r="M5" s="26">
        <v>0</v>
      </c>
      <c r="N5" s="19" t="str">
        <f t="shared" ref="N5:P9" si="0">IF(ROUND(M5,3)=0,"",ROUND(M5,3)+0.39)</f>
        <v/>
      </c>
      <c r="O5" s="26">
        <v>0</v>
      </c>
      <c r="P5" s="19" t="str">
        <f t="shared" si="0"/>
        <v/>
      </c>
      <c r="Q5" s="27">
        <v>0</v>
      </c>
      <c r="R5" s="20" t="str">
        <f t="shared" ref="R5:R6" si="1">IFERROR(IF(ROUND(M5,3)&gt;0,ROUND(E5*ROUND(M5,3)/100+F5*N5/100
+G5*ROUND(O5,3)/100+H5*P5/100
+ROUND(Q5,2)*J5*C5,2),""),"")</f>
        <v/>
      </c>
      <c r="S5" s="21">
        <v>5.04</v>
      </c>
      <c r="T5" s="20">
        <f t="shared" ref="T5:T9" si="2">ROUND(IF(D5="nd.",C5*S5*J5,(K5*24*D5*S5)/100),2)</f>
        <v>60.48</v>
      </c>
      <c r="U5" s="21">
        <v>5.8259999999999996</v>
      </c>
      <c r="V5" s="20">
        <f t="shared" ref="V5:V9" si="3">ROUND(U5*I5/100,2)</f>
        <v>9.7899999999999991</v>
      </c>
      <c r="W5" s="20">
        <f t="shared" ref="W5:W9" si="4">T5+V5</f>
        <v>70.27</v>
      </c>
      <c r="X5" s="12" t="str">
        <f t="shared" ref="X5:X9" si="5">IF(M5&gt;0,R5+W5,"")</f>
        <v/>
      </c>
      <c r="Y5" s="12" t="str">
        <f t="shared" ref="Y5:Y9" si="6">IF(M5&gt;0,ROUND(X5*(1+Z5),2),"")</f>
        <v/>
      </c>
      <c r="Z5" s="22">
        <f>23%</f>
        <v>0.23</v>
      </c>
      <c r="AA5" s="23" t="s">
        <v>47</v>
      </c>
    </row>
    <row r="6" spans="1:27" ht="21.75" customHeight="1" x14ac:dyDescent="0.25">
      <c r="A6" s="14" t="s">
        <v>36</v>
      </c>
      <c r="B6" s="14" t="s">
        <v>44</v>
      </c>
      <c r="C6" s="6">
        <v>4</v>
      </c>
      <c r="D6" s="15" t="s">
        <v>31</v>
      </c>
      <c r="E6" s="18">
        <v>62583</v>
      </c>
      <c r="F6" s="6">
        <v>0</v>
      </c>
      <c r="G6" s="6">
        <v>0</v>
      </c>
      <c r="H6" s="14">
        <v>0</v>
      </c>
      <c r="I6" s="14">
        <f t="shared" ref="I6:I9" si="7">E6+F6+G6+H6</f>
        <v>62583</v>
      </c>
      <c r="J6" s="14">
        <v>12</v>
      </c>
      <c r="K6" s="16" t="s">
        <v>31</v>
      </c>
      <c r="L6" s="17" t="s">
        <v>40</v>
      </c>
      <c r="M6" s="26">
        <v>0</v>
      </c>
      <c r="N6" s="19" t="str">
        <f t="shared" si="0"/>
        <v/>
      </c>
      <c r="O6" s="26">
        <v>0</v>
      </c>
      <c r="P6" s="19" t="str">
        <f t="shared" si="0"/>
        <v/>
      </c>
      <c r="Q6" s="27">
        <v>0</v>
      </c>
      <c r="R6" s="20" t="str">
        <f t="shared" si="1"/>
        <v/>
      </c>
      <c r="S6" s="21">
        <v>11.64</v>
      </c>
      <c r="T6" s="20">
        <f t="shared" si="2"/>
        <v>558.72</v>
      </c>
      <c r="U6" s="21">
        <v>4.3929999999999998</v>
      </c>
      <c r="V6" s="20">
        <f t="shared" si="3"/>
        <v>2749.27</v>
      </c>
      <c r="W6" s="20">
        <f t="shared" si="4"/>
        <v>3307.99</v>
      </c>
      <c r="X6" s="12" t="str">
        <f t="shared" si="5"/>
        <v/>
      </c>
      <c r="Y6" s="12" t="str">
        <f t="shared" si="6"/>
        <v/>
      </c>
      <c r="Z6" s="22">
        <f>23%</f>
        <v>0.23</v>
      </c>
      <c r="AA6" s="23" t="s">
        <v>47</v>
      </c>
    </row>
    <row r="7" spans="1:27" ht="22.15" customHeight="1" x14ac:dyDescent="0.25">
      <c r="A7" s="14" t="s">
        <v>37</v>
      </c>
      <c r="B7" s="14" t="s">
        <v>43</v>
      </c>
      <c r="C7" s="6">
        <v>7</v>
      </c>
      <c r="D7" s="15" t="s">
        <v>31</v>
      </c>
      <c r="E7" s="18">
        <v>150544</v>
      </c>
      <c r="F7" s="18">
        <v>96178</v>
      </c>
      <c r="G7" s="18">
        <v>0</v>
      </c>
      <c r="H7" s="16">
        <v>0</v>
      </c>
      <c r="I7" s="14">
        <f t="shared" si="7"/>
        <v>246722</v>
      </c>
      <c r="J7" s="16">
        <v>12</v>
      </c>
      <c r="K7" s="16" t="s">
        <v>31</v>
      </c>
      <c r="L7" s="17" t="s">
        <v>40</v>
      </c>
      <c r="M7" s="26">
        <v>0</v>
      </c>
      <c r="N7" s="19" t="str">
        <f t="shared" si="0"/>
        <v/>
      </c>
      <c r="O7" s="26">
        <v>0</v>
      </c>
      <c r="P7" s="19" t="str">
        <f t="shared" si="0"/>
        <v/>
      </c>
      <c r="Q7" s="27">
        <v>0</v>
      </c>
      <c r="R7" s="20" t="str">
        <f>IFERROR(IF(ROUND(M7,3)&gt;0,ROUND(E7*ROUND(M7,3)/100+F7*N7/100
+G7*ROUND(O7,3)/100+H7*P7/100
+ROUND(Q7,2)*J7*C7,2),""),"")</f>
        <v/>
      </c>
      <c r="S7" s="21">
        <v>38.19</v>
      </c>
      <c r="T7" s="20">
        <f t="shared" si="2"/>
        <v>3207.96</v>
      </c>
      <c r="U7" s="21">
        <v>4.2539999999999996</v>
      </c>
      <c r="V7" s="20">
        <f t="shared" si="3"/>
        <v>10495.55</v>
      </c>
      <c r="W7" s="20">
        <f t="shared" si="4"/>
        <v>13703.509999999998</v>
      </c>
      <c r="X7" s="12" t="str">
        <f t="shared" si="5"/>
        <v/>
      </c>
      <c r="Y7" s="12" t="str">
        <f t="shared" si="6"/>
        <v/>
      </c>
      <c r="Z7" s="22">
        <f>23%</f>
        <v>0.23</v>
      </c>
      <c r="AA7" s="23" t="s">
        <v>47</v>
      </c>
    </row>
    <row r="8" spans="1:27" ht="22.15" customHeight="1" x14ac:dyDescent="0.25">
      <c r="A8" s="14" t="s">
        <v>38</v>
      </c>
      <c r="B8" s="14" t="s">
        <v>42</v>
      </c>
      <c r="C8" s="6">
        <v>2</v>
      </c>
      <c r="D8" s="15" t="s">
        <v>31</v>
      </c>
      <c r="E8" s="18">
        <v>124821</v>
      </c>
      <c r="F8" s="18">
        <v>0</v>
      </c>
      <c r="G8" s="18">
        <v>73606</v>
      </c>
      <c r="H8" s="16">
        <v>0</v>
      </c>
      <c r="I8" s="14">
        <f t="shared" si="7"/>
        <v>198427</v>
      </c>
      <c r="J8" s="16">
        <v>12</v>
      </c>
      <c r="K8" s="16" t="s">
        <v>31</v>
      </c>
      <c r="L8" s="17" t="s">
        <v>40</v>
      </c>
      <c r="M8" s="26">
        <v>0</v>
      </c>
      <c r="N8" s="19" t="str">
        <f t="shared" si="0"/>
        <v/>
      </c>
      <c r="O8" s="26">
        <v>0</v>
      </c>
      <c r="P8" s="19" t="str">
        <f t="shared" si="0"/>
        <v/>
      </c>
      <c r="Q8" s="27">
        <v>0</v>
      </c>
      <c r="R8" s="20" t="str">
        <f t="shared" ref="R8:R9" si="8">IFERROR(IF(ROUND(M8,3)&gt;0,ROUND(E8*ROUND(M8,3)/100+F8*N8/100
+G8*ROUND(O8,3)/100+H8*P8/100
+ROUND(Q8,2)*J8*C8,2),""),"")</f>
        <v/>
      </c>
      <c r="S8" s="21">
        <v>211.47</v>
      </c>
      <c r="T8" s="20">
        <f t="shared" si="2"/>
        <v>5075.28</v>
      </c>
      <c r="U8" s="21">
        <v>4.0640000000000001</v>
      </c>
      <c r="V8" s="20">
        <f t="shared" si="3"/>
        <v>8064.07</v>
      </c>
      <c r="W8" s="20">
        <f t="shared" si="4"/>
        <v>13139.349999999999</v>
      </c>
      <c r="X8" s="12" t="str">
        <f t="shared" si="5"/>
        <v/>
      </c>
      <c r="Y8" s="12" t="str">
        <f t="shared" si="6"/>
        <v/>
      </c>
      <c r="Z8" s="22">
        <f>23%</f>
        <v>0.23</v>
      </c>
      <c r="AA8" s="23" t="s">
        <v>47</v>
      </c>
    </row>
    <row r="9" spans="1:27" ht="22.15" customHeight="1" x14ac:dyDescent="0.25">
      <c r="A9" s="14" t="s">
        <v>39</v>
      </c>
      <c r="B9" s="14" t="s">
        <v>41</v>
      </c>
      <c r="C9" s="6">
        <v>4</v>
      </c>
      <c r="D9" s="15">
        <v>988</v>
      </c>
      <c r="E9" s="18">
        <v>907921</v>
      </c>
      <c r="F9" s="18">
        <v>0</v>
      </c>
      <c r="G9" s="18">
        <v>0</v>
      </c>
      <c r="H9" s="16">
        <v>0</v>
      </c>
      <c r="I9" s="14">
        <f t="shared" si="7"/>
        <v>907921</v>
      </c>
      <c r="J9" s="16">
        <v>12</v>
      </c>
      <c r="K9" s="16">
        <v>366</v>
      </c>
      <c r="L9" s="17" t="s">
        <v>40</v>
      </c>
      <c r="M9" s="26">
        <v>0</v>
      </c>
      <c r="N9" s="19" t="str">
        <f t="shared" si="0"/>
        <v/>
      </c>
      <c r="O9" s="26">
        <v>0</v>
      </c>
      <c r="P9" s="19" t="str">
        <f t="shared" si="0"/>
        <v/>
      </c>
      <c r="Q9" s="27">
        <v>0</v>
      </c>
      <c r="R9" s="20" t="str">
        <f t="shared" si="8"/>
        <v/>
      </c>
      <c r="S9" s="21">
        <v>0.60299999999999998</v>
      </c>
      <c r="T9" s="20">
        <f t="shared" si="2"/>
        <v>52331.91</v>
      </c>
      <c r="U9" s="21">
        <v>2.4710000000000001</v>
      </c>
      <c r="V9" s="20">
        <f t="shared" si="3"/>
        <v>22434.73</v>
      </c>
      <c r="W9" s="20">
        <f t="shared" si="4"/>
        <v>74766.64</v>
      </c>
      <c r="X9" s="12" t="str">
        <f t="shared" si="5"/>
        <v/>
      </c>
      <c r="Y9" s="12" t="str">
        <f t="shared" si="6"/>
        <v/>
      </c>
      <c r="Z9" s="22">
        <f>23%</f>
        <v>0.23</v>
      </c>
      <c r="AA9" s="23" t="s">
        <v>47</v>
      </c>
    </row>
    <row r="10" spans="1:27" ht="22.15" customHeight="1" x14ac:dyDescent="0.25">
      <c r="W10" s="4" t="s">
        <v>32</v>
      </c>
      <c r="X10" s="25" t="str">
        <f>IF(SUM(X5:X9)&gt;0,SUM(X5:X9),"")</f>
        <v/>
      </c>
      <c r="Y10" s="25" t="str">
        <f>IF(SUM(Y5:Y9)&gt;0,SUM(Y5:Y9),"")</f>
        <v/>
      </c>
    </row>
    <row r="11" spans="1:27" ht="41.45" customHeight="1" x14ac:dyDescent="0.25">
      <c r="A11" s="30" t="s">
        <v>46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2"/>
    </row>
    <row r="12" spans="1:27" ht="22.9" customHeight="1" x14ac:dyDescent="0.25">
      <c r="A12" s="30" t="s">
        <v>33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2"/>
    </row>
    <row r="15" spans="1:27" ht="15.6" customHeight="1" x14ac:dyDescent="0.25"/>
    <row r="16" spans="1:27" ht="15.6" customHeight="1" x14ac:dyDescent="0.25"/>
    <row r="36" spans="15:15" x14ac:dyDescent="0.25">
      <c r="O36" s="5"/>
    </row>
  </sheetData>
  <protectedRanges>
    <protectedRange sqref="O5:O9 M5:M9" name="Rozstęp3_1"/>
    <protectedRange sqref="Q5:Q9" name="Rozstęp2_1"/>
  </protectedRanges>
  <mergeCells count="17">
    <mergeCell ref="S2:W2"/>
    <mergeCell ref="A11:N11"/>
    <mergeCell ref="A1:AA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A12:N12"/>
    <mergeCell ref="J2:J3"/>
    <mergeCell ref="K2:K3"/>
    <mergeCell ref="L2:L3"/>
    <mergeCell ref="M2:R2"/>
  </mergeCells>
  <phoneticPr fontId="4" type="noConversion"/>
  <pageMargins left="0.7" right="0.7" top="0.75" bottom="0.75" header="0.3" footer="0.3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Sławomir Piechnik</cp:lastModifiedBy>
  <cp:lastPrinted>2023-11-23T12:45:42Z</cp:lastPrinted>
  <dcterms:created xsi:type="dcterms:W3CDTF">2015-06-05T18:19:34Z</dcterms:created>
  <dcterms:modified xsi:type="dcterms:W3CDTF">2023-11-24T08:29:59Z</dcterms:modified>
</cp:coreProperties>
</file>